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9200" windowHeight="12960"/>
  </bookViews>
  <sheets>
    <sheet name="Imperial" sheetId="1" r:id="rId1"/>
    <sheet name="Metric" sheetId="2" r:id="rId2"/>
    <sheet name="Arrow Builder" sheetId="3" r:id="rId3"/>
    <sheet name="virtual M" sheetId="4" r:id="rId4"/>
    <sheet name="vmK model" sheetId="5" r:id="rId5"/>
    <sheet name="speed" sheetId="6" r:id="rId6"/>
    <sheet name="Poncelet" sheetId="7" r:id="rId7"/>
  </sheets>
  <externalReferences>
    <externalReference r:id="rId8"/>
  </externalReferences>
  <definedNames>
    <definedName name="solver_adj" localSheetId="6" hidden="1">Poncelet!$D$46</definedName>
    <definedName name="solver_cvg" localSheetId="6" hidden="1">0.0001</definedName>
    <definedName name="solver_drv" localSheetId="6" hidden="1">1</definedName>
    <definedName name="solver_est" localSheetId="6" hidden="1">1</definedName>
    <definedName name="solver_itr" localSheetId="6" hidden="1">100</definedName>
    <definedName name="solver_lhs1" localSheetId="6" hidden="1">Poncelet!$D$46</definedName>
    <definedName name="solver_lhs2" localSheetId="6" hidden="1">Poncelet!$D$46</definedName>
    <definedName name="solver_lin" localSheetId="6" hidden="1">2</definedName>
    <definedName name="solver_neg" localSheetId="6" hidden="1">2</definedName>
    <definedName name="solver_num" localSheetId="6" hidden="1">2</definedName>
    <definedName name="solver_nwt" localSheetId="6" hidden="1">1</definedName>
    <definedName name="solver_opt" localSheetId="6" hidden="1">Poncelet!$K$46</definedName>
    <definedName name="solver_pre" localSheetId="6" hidden="1">0.000001</definedName>
    <definedName name="solver_rel1" localSheetId="6" hidden="1">1</definedName>
    <definedName name="solver_rel2" localSheetId="6" hidden="1">3</definedName>
    <definedName name="solver_rhs1" localSheetId="6" hidden="1">400</definedName>
    <definedName name="solver_rhs2" localSheetId="6" hidden="1">100</definedName>
    <definedName name="solver_scl" localSheetId="6" hidden="1">2</definedName>
    <definedName name="solver_sho" localSheetId="6" hidden="1">2</definedName>
    <definedName name="solver_tim" localSheetId="6" hidden="1">100</definedName>
    <definedName name="solver_tol" localSheetId="6" hidden="1">0.05</definedName>
    <definedName name="solver_typ" localSheetId="6" hidden="1">3</definedName>
    <definedName name="solver_val" localSheetId="6" hidden="1">7.5</definedName>
  </definedNames>
  <calcPr calcId="125725"/>
</workbook>
</file>

<file path=xl/calcChain.xml><?xml version="1.0" encoding="utf-8"?>
<calcChain xmlns="http://schemas.openxmlformats.org/spreadsheetml/2006/main">
  <c r="AF72" i="7"/>
  <c r="AH72" s="1"/>
  <c r="AF71"/>
  <c r="AH71" s="1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49"/>
  <c r="V66"/>
  <c r="O65"/>
  <c r="O66"/>
  <c r="AF66" s="1"/>
  <c r="N66"/>
  <c r="K56"/>
  <c r="AB56" s="1"/>
  <c r="R56"/>
  <c r="K55"/>
  <c r="R55"/>
  <c r="K54"/>
  <c r="AB54" s="1"/>
  <c r="R54"/>
  <c r="N65"/>
  <c r="AE65" s="1"/>
  <c r="U65"/>
  <c r="N64"/>
  <c r="AE64" s="1"/>
  <c r="U64"/>
  <c r="V65"/>
  <c r="P66"/>
  <c r="W66"/>
  <c r="P65"/>
  <c r="W65"/>
  <c r="S50"/>
  <c r="S51"/>
  <c r="T51"/>
  <c r="S52"/>
  <c r="T52"/>
  <c r="S53"/>
  <c r="T53"/>
  <c r="S54"/>
  <c r="T54"/>
  <c r="U54"/>
  <c r="S55"/>
  <c r="T55"/>
  <c r="U55"/>
  <c r="S56"/>
  <c r="T56"/>
  <c r="U56"/>
  <c r="S57"/>
  <c r="T57"/>
  <c r="U57"/>
  <c r="V57"/>
  <c r="T58"/>
  <c r="U58"/>
  <c r="V58"/>
  <c r="T59"/>
  <c r="U59"/>
  <c r="V59"/>
  <c r="W59"/>
  <c r="T60"/>
  <c r="U60"/>
  <c r="V60"/>
  <c r="W60"/>
  <c r="U61"/>
  <c r="V61"/>
  <c r="W61"/>
  <c r="U62"/>
  <c r="V62"/>
  <c r="W62"/>
  <c r="U63"/>
  <c r="V63"/>
  <c r="W63"/>
  <c r="V64"/>
  <c r="W64"/>
  <c r="R50"/>
  <c r="R51"/>
  <c r="R52"/>
  <c r="R53"/>
  <c r="L50"/>
  <c r="AC50" s="1"/>
  <c r="L51"/>
  <c r="AC51" s="1"/>
  <c r="M51"/>
  <c r="AD51" s="1"/>
  <c r="L52"/>
  <c r="AC52" s="1"/>
  <c r="M52"/>
  <c r="AD52" s="1"/>
  <c r="L53"/>
  <c r="AC53" s="1"/>
  <c r="M53"/>
  <c r="AD53" s="1"/>
  <c r="L54"/>
  <c r="AC54" s="1"/>
  <c r="M54"/>
  <c r="AD54" s="1"/>
  <c r="N54"/>
  <c r="AE54" s="1"/>
  <c r="L55"/>
  <c r="AC55" s="1"/>
  <c r="M55"/>
  <c r="AD55" s="1"/>
  <c r="N55"/>
  <c r="AE55" s="1"/>
  <c r="L56"/>
  <c r="AC56" s="1"/>
  <c r="M56"/>
  <c r="AD56" s="1"/>
  <c r="N56"/>
  <c r="AE56" s="1"/>
  <c r="L57"/>
  <c r="AC57" s="1"/>
  <c r="M57"/>
  <c r="AD57" s="1"/>
  <c r="N57"/>
  <c r="AE57" s="1"/>
  <c r="O57"/>
  <c r="AF57" s="1"/>
  <c r="M58"/>
  <c r="AD58" s="1"/>
  <c r="N58"/>
  <c r="AE58" s="1"/>
  <c r="O58"/>
  <c r="AF58" s="1"/>
  <c r="M59"/>
  <c r="AD59" s="1"/>
  <c r="N59"/>
  <c r="AE59" s="1"/>
  <c r="O59"/>
  <c r="AF59" s="1"/>
  <c r="P59"/>
  <c r="AG59" s="1"/>
  <c r="M60"/>
  <c r="AD60" s="1"/>
  <c r="N60"/>
  <c r="AE60" s="1"/>
  <c r="O60"/>
  <c r="AF60" s="1"/>
  <c r="P60"/>
  <c r="AG60" s="1"/>
  <c r="N61"/>
  <c r="AE61" s="1"/>
  <c r="O61"/>
  <c r="AF61" s="1"/>
  <c r="P61"/>
  <c r="AG61" s="1"/>
  <c r="N62"/>
  <c r="AE62" s="1"/>
  <c r="O62"/>
  <c r="AF62" s="1"/>
  <c r="P62"/>
  <c r="AG62" s="1"/>
  <c r="N63"/>
  <c r="AE63" s="1"/>
  <c r="O63"/>
  <c r="AF63" s="1"/>
  <c r="P63"/>
  <c r="AG63" s="1"/>
  <c r="O64"/>
  <c r="AF64" s="1"/>
  <c r="P64"/>
  <c r="AG64" s="1"/>
  <c r="K50"/>
  <c r="AB50" s="1"/>
  <c r="K51"/>
  <c r="AB51" s="1"/>
  <c r="K52"/>
  <c r="AB52" s="1"/>
  <c r="K53"/>
  <c r="AB53" s="1"/>
  <c r="C17"/>
  <c r="D17" s="1"/>
  <c r="D16"/>
  <c r="B44" i="1"/>
  <c r="E15" i="2"/>
  <c r="E9"/>
  <c r="E10"/>
  <c r="E11"/>
  <c r="E12"/>
  <c r="E13"/>
  <c r="E8"/>
  <c r="M15" i="1"/>
  <c r="I23"/>
  <c r="I19"/>
  <c r="J5" i="3"/>
  <c r="J6"/>
  <c r="J7"/>
  <c r="L11"/>
  <c r="J13"/>
  <c r="J15"/>
  <c r="D32"/>
  <c r="S6"/>
  <c r="F7"/>
  <c r="S7"/>
  <c r="J8"/>
  <c r="S8"/>
  <c r="F9"/>
  <c r="J9"/>
  <c r="S9"/>
  <c r="J10"/>
  <c r="P10"/>
  <c r="S4"/>
  <c r="Q10"/>
  <c r="S10"/>
  <c r="J11"/>
  <c r="P11"/>
  <c r="S5"/>
  <c r="S11"/>
  <c r="Z11"/>
  <c r="Y11"/>
  <c r="AC11"/>
  <c r="S12"/>
  <c r="AC12"/>
  <c r="F13"/>
  <c r="AA13"/>
  <c r="AB13"/>
  <c r="AC13"/>
  <c r="AD13"/>
  <c r="AA14"/>
  <c r="AB14"/>
  <c r="AC14"/>
  <c r="AD14"/>
  <c r="S15"/>
  <c r="AA15"/>
  <c r="AB15"/>
  <c r="AC15"/>
  <c r="AD15"/>
  <c r="S16"/>
  <c r="AA16"/>
  <c r="AB16"/>
  <c r="AC16"/>
  <c r="AD16"/>
  <c r="F17"/>
  <c r="S17"/>
  <c r="Y17"/>
  <c r="D18"/>
  <c r="F18"/>
  <c r="S18"/>
  <c r="AA18"/>
  <c r="AC18"/>
  <c r="P19"/>
  <c r="S19"/>
  <c r="S24"/>
  <c r="P20"/>
  <c r="P21"/>
  <c r="AC19"/>
  <c r="S20"/>
  <c r="S21"/>
  <c r="S22"/>
  <c r="S23"/>
  <c r="W26"/>
  <c r="D28"/>
  <c r="D29"/>
  <c r="D30"/>
  <c r="D31"/>
  <c r="Q30"/>
  <c r="Q31"/>
  <c r="D33"/>
  <c r="R40"/>
  <c r="E41"/>
  <c r="R41"/>
  <c r="P42"/>
  <c r="R42"/>
  <c r="P43"/>
  <c r="R43"/>
  <c r="P44"/>
  <c r="E4" i="1"/>
  <c r="I4"/>
  <c r="E5"/>
  <c r="I5"/>
  <c r="E8"/>
  <c r="E9"/>
  <c r="E10"/>
  <c r="J10"/>
  <c r="K10"/>
  <c r="E11"/>
  <c r="J11"/>
  <c r="K11"/>
  <c r="E12"/>
  <c r="J12"/>
  <c r="K12"/>
  <c r="E13"/>
  <c r="J13"/>
  <c r="K13"/>
  <c r="J14"/>
  <c r="K14"/>
  <c r="C15"/>
  <c r="J15"/>
  <c r="K15"/>
  <c r="C22"/>
  <c r="F22" s="1"/>
  <c r="E33"/>
  <c r="E34"/>
  <c r="E35"/>
  <c r="E36"/>
  <c r="E37"/>
  <c r="E4" i="2"/>
  <c r="I4"/>
  <c r="E5"/>
  <c r="I5"/>
  <c r="H10"/>
  <c r="K10" s="1"/>
  <c r="I10"/>
  <c r="H11"/>
  <c r="K11" s="1"/>
  <c r="I11"/>
  <c r="H12"/>
  <c r="K12" s="1"/>
  <c r="I12"/>
  <c r="H13"/>
  <c r="M13" s="1"/>
  <c r="I13"/>
  <c r="H14"/>
  <c r="M14" s="1"/>
  <c r="I14"/>
  <c r="C15"/>
  <c r="H15"/>
  <c r="M15" s="1"/>
  <c r="K15"/>
  <c r="I15"/>
  <c r="C20"/>
  <c r="C21"/>
  <c r="C22"/>
  <c r="F22"/>
  <c r="E33"/>
  <c r="E34"/>
  <c r="E35"/>
  <c r="E36"/>
  <c r="E37"/>
  <c r="I6" i="7"/>
  <c r="N16"/>
  <c r="N17"/>
  <c r="N46"/>
  <c r="O46"/>
  <c r="P46"/>
  <c r="P5" i="6"/>
  <c r="P6"/>
  <c r="P7"/>
  <c r="P8"/>
  <c r="P9"/>
  <c r="E10"/>
  <c r="I10"/>
  <c r="P10"/>
  <c r="O4" i="4"/>
  <c r="O5"/>
  <c r="O6"/>
  <c r="O7"/>
  <c r="O8"/>
  <c r="E9"/>
  <c r="F9"/>
  <c r="O9"/>
  <c r="E10"/>
  <c r="F10"/>
  <c r="O11"/>
  <c r="N28"/>
  <c r="C13"/>
  <c r="C15"/>
  <c r="C17"/>
  <c r="C19"/>
  <c r="E27"/>
  <c r="N27"/>
  <c r="N29"/>
  <c r="N30"/>
  <c r="C36"/>
  <c r="H37"/>
  <c r="I37"/>
  <c r="K37"/>
  <c r="J37"/>
  <c r="Q37"/>
  <c r="C38"/>
  <c r="H38"/>
  <c r="I38"/>
  <c r="K38"/>
  <c r="J38"/>
  <c r="Q38"/>
  <c r="H40"/>
  <c r="I40"/>
  <c r="K40"/>
  <c r="J40"/>
  <c r="Q40"/>
  <c r="E10" i="5"/>
  <c r="F10"/>
  <c r="H10"/>
  <c r="I10"/>
  <c r="J10"/>
  <c r="K10"/>
  <c r="K14"/>
  <c r="E11"/>
  <c r="F11"/>
  <c r="H11"/>
  <c r="I11"/>
  <c r="J11"/>
  <c r="K11"/>
  <c r="E12"/>
  <c r="F12"/>
  <c r="H12"/>
  <c r="I12"/>
  <c r="I15" s="1"/>
  <c r="J12"/>
  <c r="K12"/>
  <c r="K15"/>
  <c r="J14"/>
  <c r="J15"/>
  <c r="H24" i="4"/>
  <c r="H26"/>
  <c r="H27"/>
  <c r="H28"/>
  <c r="C29"/>
  <c r="C30"/>
  <c r="C31"/>
  <c r="H4"/>
  <c r="H5"/>
  <c r="H6"/>
  <c r="H7"/>
  <c r="H8"/>
  <c r="H9"/>
  <c r="H10"/>
  <c r="H14"/>
  <c r="H15"/>
  <c r="H18"/>
  <c r="H19"/>
  <c r="H34"/>
  <c r="H32"/>
  <c r="H30"/>
  <c r="H25"/>
  <c r="H11"/>
  <c r="AE14" i="3"/>
  <c r="E25" i="2"/>
  <c r="E27"/>
  <c r="E29"/>
  <c r="E24"/>
  <c r="E26"/>
  <c r="E28"/>
  <c r="Z10" i="3"/>
  <c r="AA10"/>
  <c r="AB11"/>
  <c r="AE11"/>
  <c r="Z12"/>
  <c r="Y12"/>
  <c r="H39" i="4"/>
  <c r="H36"/>
  <c r="H35"/>
  <c r="H33"/>
  <c r="H31"/>
  <c r="H29"/>
  <c r="H20"/>
  <c r="H17"/>
  <c r="H16"/>
  <c r="H13"/>
  <c r="H12"/>
  <c r="AE16" i="3"/>
  <c r="AE13"/>
  <c r="S13"/>
  <c r="P22"/>
  <c r="I12" i="4"/>
  <c r="K12"/>
  <c r="Q12"/>
  <c r="J12"/>
  <c r="I16"/>
  <c r="K16"/>
  <c r="Q16"/>
  <c r="J16"/>
  <c r="I20"/>
  <c r="K20"/>
  <c r="Q20"/>
  <c r="J20"/>
  <c r="J31"/>
  <c r="Q31"/>
  <c r="I31"/>
  <c r="K31"/>
  <c r="J35"/>
  <c r="Q35"/>
  <c r="I35"/>
  <c r="K35"/>
  <c r="J39"/>
  <c r="Q39"/>
  <c r="I39"/>
  <c r="K39"/>
  <c r="I11"/>
  <c r="K11"/>
  <c r="Q11"/>
  <c r="J11"/>
  <c r="I30"/>
  <c r="K30"/>
  <c r="Q30"/>
  <c r="J30"/>
  <c r="I34"/>
  <c r="K34"/>
  <c r="J34"/>
  <c r="Q34"/>
  <c r="J18"/>
  <c r="Q18"/>
  <c r="I18"/>
  <c r="K18"/>
  <c r="J14"/>
  <c r="Q14"/>
  <c r="I14"/>
  <c r="K14"/>
  <c r="J9"/>
  <c r="Q9"/>
  <c r="I9"/>
  <c r="K9"/>
  <c r="J7"/>
  <c r="Q7"/>
  <c r="I7"/>
  <c r="K7"/>
  <c r="J5"/>
  <c r="Q5"/>
  <c r="I5"/>
  <c r="K5"/>
  <c r="J27"/>
  <c r="Q27"/>
  <c r="I27"/>
  <c r="K27"/>
  <c r="J24"/>
  <c r="Q24"/>
  <c r="I24"/>
  <c r="K24"/>
  <c r="AD11" i="3"/>
  <c r="AE15"/>
  <c r="I13" i="4"/>
  <c r="K13"/>
  <c r="Q13"/>
  <c r="J13"/>
  <c r="I17"/>
  <c r="K17"/>
  <c r="Q17"/>
  <c r="J17"/>
  <c r="I29"/>
  <c r="K29"/>
  <c r="J29"/>
  <c r="Q29"/>
  <c r="J33"/>
  <c r="Q33"/>
  <c r="I33"/>
  <c r="K33"/>
  <c r="J36"/>
  <c r="Q36"/>
  <c r="I36"/>
  <c r="K36"/>
  <c r="AB12" i="3"/>
  <c r="Z19"/>
  <c r="Y19"/>
  <c r="AB10"/>
  <c r="AC10"/>
  <c r="I25" i="4"/>
  <c r="K25"/>
  <c r="J25"/>
  <c r="Q25"/>
  <c r="I32"/>
  <c r="K32"/>
  <c r="J32"/>
  <c r="Q32"/>
  <c r="J19"/>
  <c r="Q19"/>
  <c r="I19"/>
  <c r="K19"/>
  <c r="J15"/>
  <c r="Q15"/>
  <c r="I15"/>
  <c r="K15"/>
  <c r="J10"/>
  <c r="Q10"/>
  <c r="I10"/>
  <c r="K10"/>
  <c r="J8"/>
  <c r="Q8"/>
  <c r="I8"/>
  <c r="K8"/>
  <c r="J6"/>
  <c r="Q6"/>
  <c r="I6"/>
  <c r="K6"/>
  <c r="J4"/>
  <c r="Q4"/>
  <c r="I4"/>
  <c r="K4"/>
  <c r="J28"/>
  <c r="I28"/>
  <c r="K28"/>
  <c r="Q28"/>
  <c r="J26"/>
  <c r="Q26"/>
  <c r="I26"/>
  <c r="K26"/>
  <c r="AD10" i="3"/>
  <c r="AE10"/>
  <c r="Z18"/>
  <c r="Y18"/>
  <c r="AB19"/>
  <c r="AE12"/>
  <c r="AD12"/>
  <c r="Z17"/>
  <c r="AA17"/>
  <c r="AB18"/>
  <c r="AE19"/>
  <c r="AD19"/>
  <c r="AB17"/>
  <c r="AC17"/>
  <c r="AE18"/>
  <c r="AD18"/>
  <c r="AD17"/>
  <c r="AD21"/>
  <c r="AE17"/>
  <c r="AE21"/>
  <c r="W22"/>
  <c r="W21"/>
  <c r="W24"/>
  <c r="W25"/>
  <c r="W23"/>
  <c r="J15" i="2"/>
  <c r="AG65" i="7" l="1"/>
  <c r="AG66"/>
  <c r="AB55"/>
  <c r="AF65"/>
  <c r="E46"/>
  <c r="I46"/>
  <c r="C18"/>
  <c r="J46"/>
  <c r="F46"/>
  <c r="H46"/>
  <c r="K46"/>
  <c r="G46"/>
  <c r="I14" i="5"/>
  <c r="I17" s="1"/>
  <c r="K17"/>
  <c r="O16" i="7"/>
  <c r="K16" s="1"/>
  <c r="P16"/>
  <c r="J14" i="2"/>
  <c r="K14"/>
  <c r="J13"/>
  <c r="K13"/>
  <c r="J12"/>
  <c r="J11"/>
  <c r="J10"/>
  <c r="E14"/>
  <c r="E24" i="1"/>
  <c r="E27"/>
  <c r="E26"/>
  <c r="E25"/>
  <c r="E29"/>
  <c r="E28"/>
  <c r="E14"/>
  <c r="E15" s="1"/>
  <c r="L10"/>
  <c r="H16" i="7" l="1"/>
  <c r="I16"/>
  <c r="C19"/>
  <c r="D18"/>
  <c r="N18"/>
  <c r="E16"/>
  <c r="F16"/>
  <c r="G16"/>
  <c r="J16"/>
  <c r="J17" i="5"/>
  <c r="J19" s="1"/>
  <c r="K19"/>
  <c r="O17" i="7"/>
  <c r="P17"/>
  <c r="L10" i="2"/>
  <c r="L13"/>
  <c r="N13" s="1"/>
  <c r="L14"/>
  <c r="N14" s="1"/>
  <c r="L15"/>
  <c r="N15" s="1"/>
  <c r="L12"/>
  <c r="M12" s="1"/>
  <c r="L11"/>
  <c r="M10"/>
  <c r="N10"/>
  <c r="N12"/>
  <c r="L13" i="1"/>
  <c r="N13" s="1"/>
  <c r="M13"/>
  <c r="L15"/>
  <c r="N15" s="1"/>
  <c r="L12"/>
  <c r="L11"/>
  <c r="M11" s="1"/>
  <c r="L14"/>
  <c r="M10"/>
  <c r="N10"/>
  <c r="C20" i="7" l="1"/>
  <c r="N19"/>
  <c r="D19"/>
  <c r="I3"/>
  <c r="O18"/>
  <c r="P18"/>
  <c r="D17" i="5"/>
  <c r="D16" s="1"/>
  <c r="D15"/>
  <c r="H17" i="7"/>
  <c r="E17"/>
  <c r="I17"/>
  <c r="F17"/>
  <c r="J17"/>
  <c r="G17"/>
  <c r="K17"/>
  <c r="N11" i="2"/>
  <c r="M11"/>
  <c r="N14" i="1"/>
  <c r="M14"/>
  <c r="N11"/>
  <c r="N12"/>
  <c r="M12"/>
  <c r="E18" i="7" l="1"/>
  <c r="J18"/>
  <c r="I18"/>
  <c r="H18"/>
  <c r="G18"/>
  <c r="F18"/>
  <c r="K18"/>
  <c r="O19"/>
  <c r="P19"/>
  <c r="C21"/>
  <c r="N20"/>
  <c r="D20"/>
  <c r="O20" s="1"/>
  <c r="F20" s="1"/>
  <c r="D25" i="5"/>
  <c r="E25" s="1"/>
  <c r="D27"/>
  <c r="D29"/>
  <c r="F29" s="1"/>
  <c r="D31"/>
  <c r="D33"/>
  <c r="E33" s="1"/>
  <c r="D35"/>
  <c r="D37"/>
  <c r="E37" s="1"/>
  <c r="D39"/>
  <c r="D41"/>
  <c r="E41" s="1"/>
  <c r="D43"/>
  <c r="D45"/>
  <c r="E45" s="1"/>
  <c r="D47"/>
  <c r="D24"/>
  <c r="F24" s="1"/>
  <c r="D26"/>
  <c r="D28"/>
  <c r="F28" s="1"/>
  <c r="D30"/>
  <c r="D32"/>
  <c r="F32" s="1"/>
  <c r="D34"/>
  <c r="D36"/>
  <c r="F36" s="1"/>
  <c r="D38"/>
  <c r="D40"/>
  <c r="F40" s="1"/>
  <c r="D42"/>
  <c r="F42" s="1"/>
  <c r="D44"/>
  <c r="F44" s="1"/>
  <c r="D46"/>
  <c r="D23"/>
  <c r="E23" s="1"/>
  <c r="E30"/>
  <c r="F30"/>
  <c r="E42"/>
  <c r="E44"/>
  <c r="F37"/>
  <c r="E46"/>
  <c r="F46"/>
  <c r="E26"/>
  <c r="F26"/>
  <c r="E34"/>
  <c r="F34"/>
  <c r="F47"/>
  <c r="E47"/>
  <c r="F39"/>
  <c r="E39"/>
  <c r="F31"/>
  <c r="E31"/>
  <c r="E38"/>
  <c r="F38"/>
  <c r="E24"/>
  <c r="F33"/>
  <c r="E36"/>
  <c r="E28"/>
  <c r="F43"/>
  <c r="E43"/>
  <c r="F35"/>
  <c r="E35"/>
  <c r="F27"/>
  <c r="E27"/>
  <c r="I20" i="7" l="1"/>
  <c r="J20"/>
  <c r="K20"/>
  <c r="G20"/>
  <c r="H20"/>
  <c r="E20"/>
  <c r="P20"/>
  <c r="D21"/>
  <c r="O21" s="1"/>
  <c r="C22"/>
  <c r="P21"/>
  <c r="N21"/>
  <c r="E19"/>
  <c r="G19"/>
  <c r="I19"/>
  <c r="K19"/>
  <c r="H19"/>
  <c r="F19"/>
  <c r="J19"/>
  <c r="E40" i="5"/>
  <c r="F25"/>
  <c r="F41"/>
  <c r="E29"/>
  <c r="F45"/>
  <c r="F23"/>
  <c r="E32"/>
  <c r="G21" i="7" l="1"/>
  <c r="F21"/>
  <c r="I21"/>
  <c r="H21"/>
  <c r="K21"/>
  <c r="E21"/>
  <c r="J21"/>
  <c r="D22"/>
  <c r="O22" s="1"/>
  <c r="C23"/>
  <c r="N22"/>
  <c r="D23" l="1"/>
  <c r="O23" s="1"/>
  <c r="C24"/>
  <c r="N23"/>
  <c r="P22"/>
  <c r="G22"/>
  <c r="E22"/>
  <c r="H22"/>
  <c r="J22"/>
  <c r="F22"/>
  <c r="K22"/>
  <c r="I22"/>
  <c r="P23" l="1"/>
  <c r="I23"/>
  <c r="J23"/>
  <c r="G23"/>
  <c r="K23"/>
  <c r="F23"/>
  <c r="E23"/>
  <c r="H23"/>
  <c r="C25"/>
  <c r="D24"/>
  <c r="O24" s="1"/>
  <c r="N24"/>
  <c r="P24" l="1"/>
  <c r="F24"/>
  <c r="H24"/>
  <c r="I24"/>
  <c r="E24"/>
  <c r="K24"/>
  <c r="G24"/>
  <c r="J24"/>
  <c r="D25"/>
  <c r="O25" s="1"/>
  <c r="C26"/>
  <c r="N25"/>
  <c r="D26" l="1"/>
  <c r="O26" s="1"/>
  <c r="C27"/>
  <c r="N26"/>
  <c r="P25"/>
  <c r="J25"/>
  <c r="H25"/>
  <c r="E25"/>
  <c r="G25"/>
  <c r="I25"/>
  <c r="K25"/>
  <c r="F25"/>
  <c r="P26" l="1"/>
  <c r="F26"/>
  <c r="K26"/>
  <c r="I26"/>
  <c r="G26"/>
  <c r="E26"/>
  <c r="J26"/>
  <c r="H26"/>
  <c r="N27"/>
  <c r="D27"/>
  <c r="O27" s="1"/>
  <c r="C28"/>
  <c r="P27" l="1"/>
  <c r="N28"/>
  <c r="D28"/>
  <c r="O28" s="1"/>
  <c r="C29"/>
  <c r="P28"/>
  <c r="I27"/>
  <c r="K27"/>
  <c r="H27"/>
  <c r="J27"/>
  <c r="E27"/>
  <c r="G27"/>
  <c r="F27"/>
  <c r="N29" l="1"/>
  <c r="C30"/>
  <c r="D29"/>
  <c r="O29" s="1"/>
  <c r="F28"/>
  <c r="I28"/>
  <c r="K28"/>
  <c r="E28"/>
  <c r="G28"/>
  <c r="H28"/>
  <c r="J28"/>
  <c r="C31" l="1"/>
  <c r="D30"/>
  <c r="O30" s="1"/>
  <c r="N30"/>
  <c r="P30"/>
  <c r="P29"/>
  <c r="J29"/>
  <c r="H29"/>
  <c r="I29"/>
  <c r="G29"/>
  <c r="E29"/>
  <c r="K29"/>
  <c r="F29"/>
  <c r="K30" l="1"/>
  <c r="G30"/>
  <c r="H30"/>
  <c r="J30"/>
  <c r="F30"/>
  <c r="I30"/>
  <c r="E30"/>
  <c r="C32"/>
  <c r="N31"/>
  <c r="D31"/>
  <c r="O31" s="1"/>
  <c r="I4"/>
  <c r="P31" l="1"/>
  <c r="I31"/>
  <c r="H31"/>
  <c r="E31"/>
  <c r="G31"/>
  <c r="F31"/>
  <c r="K31"/>
  <c r="J31"/>
  <c r="C33"/>
  <c r="N32"/>
  <c r="D32"/>
  <c r="O32" s="1"/>
  <c r="I32" l="1"/>
  <c r="J32"/>
  <c r="G32"/>
  <c r="E32"/>
  <c r="K32"/>
  <c r="H32"/>
  <c r="F32"/>
  <c r="P32"/>
  <c r="N33"/>
  <c r="C34"/>
  <c r="D33"/>
  <c r="O33" s="1"/>
  <c r="J33" l="1"/>
  <c r="H33"/>
  <c r="E33"/>
  <c r="K33"/>
  <c r="F33"/>
  <c r="I33"/>
  <c r="G33"/>
  <c r="P33"/>
  <c r="C35"/>
  <c r="N34"/>
  <c r="D34"/>
  <c r="O34" s="1"/>
  <c r="P34" l="1"/>
  <c r="N35"/>
  <c r="D35"/>
  <c r="O35" s="1"/>
  <c r="C36"/>
  <c r="K34"/>
  <c r="F34"/>
  <c r="E34"/>
  <c r="G34"/>
  <c r="I34"/>
  <c r="H34"/>
  <c r="J34"/>
  <c r="E35" l="1"/>
  <c r="F35"/>
  <c r="H35"/>
  <c r="J35"/>
  <c r="G35"/>
  <c r="I35"/>
  <c r="K35"/>
  <c r="P35"/>
  <c r="N36"/>
  <c r="C37"/>
  <c r="D36"/>
  <c r="O36" s="1"/>
  <c r="P36" l="1"/>
  <c r="H36"/>
  <c r="F36"/>
  <c r="J36"/>
  <c r="G36"/>
  <c r="E36"/>
  <c r="K36"/>
  <c r="I36"/>
  <c r="C38"/>
  <c r="D37"/>
  <c r="O37" s="1"/>
  <c r="N37"/>
  <c r="P37" l="1"/>
  <c r="K37"/>
  <c r="I37"/>
  <c r="H37"/>
  <c r="G37"/>
  <c r="J37"/>
  <c r="E37"/>
  <c r="F37"/>
  <c r="C39"/>
  <c r="N38"/>
  <c r="D38"/>
  <c r="O38" s="1"/>
  <c r="G38" l="1"/>
  <c r="I38"/>
  <c r="F38"/>
  <c r="K38"/>
  <c r="J38"/>
  <c r="E38"/>
  <c r="H38"/>
  <c r="P38"/>
  <c r="D39"/>
  <c r="O39" s="1"/>
  <c r="N39"/>
  <c r="C40"/>
  <c r="P39" l="1"/>
  <c r="C41"/>
  <c r="D40"/>
  <c r="O40" s="1"/>
  <c r="N40"/>
  <c r="P40"/>
  <c r="E39"/>
  <c r="K39"/>
  <c r="J39"/>
  <c r="I39"/>
  <c r="G39"/>
  <c r="H39"/>
  <c r="F39"/>
  <c r="J40" l="1"/>
  <c r="E40"/>
  <c r="G40"/>
  <c r="K40"/>
  <c r="F40"/>
  <c r="H40"/>
  <c r="I40"/>
  <c r="D41"/>
  <c r="O41" s="1"/>
  <c r="C42"/>
  <c r="N41"/>
  <c r="P41" l="1"/>
  <c r="I41"/>
  <c r="G41"/>
  <c r="F41"/>
  <c r="K41"/>
  <c r="J41"/>
  <c r="E41"/>
  <c r="H41"/>
  <c r="C43"/>
  <c r="N42"/>
  <c r="D42"/>
  <c r="O42" s="1"/>
  <c r="G42" l="1"/>
  <c r="F42"/>
  <c r="K42"/>
  <c r="J42"/>
  <c r="E42"/>
  <c r="H42"/>
  <c r="I42"/>
  <c r="P42"/>
  <c r="C44"/>
  <c r="N43"/>
  <c r="D43"/>
  <c r="O43" s="1"/>
  <c r="I43" l="1"/>
  <c r="K43"/>
  <c r="G43"/>
  <c r="H43"/>
  <c r="J43"/>
  <c r="E43"/>
  <c r="F43"/>
  <c r="N44"/>
  <c r="D44"/>
  <c r="O44" s="1"/>
  <c r="P43"/>
  <c r="F44" l="1"/>
  <c r="J44"/>
  <c r="I44"/>
  <c r="H44"/>
  <c r="K44"/>
  <c r="E44"/>
  <c r="G44"/>
  <c r="P44"/>
  <c r="R49"/>
  <c r="K49"/>
  <c r="AB49" s="1"/>
</calcChain>
</file>

<file path=xl/sharedStrings.xml><?xml version="1.0" encoding="utf-8"?>
<sst xmlns="http://schemas.openxmlformats.org/spreadsheetml/2006/main" count="473" uniqueCount="238">
  <si>
    <t>Arrow Weight</t>
  </si>
  <si>
    <t>Arow Speed</t>
  </si>
  <si>
    <t>Height</t>
  </si>
  <si>
    <t>Length</t>
  </si>
  <si>
    <t>RI=</t>
  </si>
  <si>
    <t>Category</t>
  </si>
  <si>
    <t>Saft Factor 0.6/0.9/1</t>
  </si>
  <si>
    <t>inches</t>
  </si>
  <si>
    <t>grain</t>
  </si>
  <si>
    <t>fps</t>
  </si>
  <si>
    <t>(inches)</t>
  </si>
  <si>
    <t>Diameter</t>
  </si>
  <si>
    <t>At distance</t>
  </si>
  <si>
    <t>yards</t>
  </si>
  <si>
    <t>(yards)</t>
  </si>
  <si>
    <t>Hunting Point</t>
  </si>
  <si>
    <t>Max distance in Relation to Reaction time</t>
  </si>
  <si>
    <t>Max distance in relation to Grouping size</t>
  </si>
  <si>
    <t>(Y)</t>
  </si>
  <si>
    <t>Reaction T</t>
  </si>
  <si>
    <t>KE</t>
  </si>
  <si>
    <t>mom</t>
  </si>
  <si>
    <t>ft.lbs</t>
  </si>
  <si>
    <t>Circumference</t>
  </si>
  <si>
    <t>Accuracy</t>
  </si>
  <si>
    <t>"/Y</t>
  </si>
  <si>
    <t>VD</t>
  </si>
  <si>
    <t>x</t>
  </si>
  <si>
    <t>Safety Factor (1 to 2)</t>
  </si>
  <si>
    <t>Min weight</t>
  </si>
  <si>
    <t>PI per category:</t>
  </si>
  <si>
    <t>m</t>
  </si>
  <si>
    <t>mm</t>
  </si>
  <si>
    <t>mm/m</t>
  </si>
  <si>
    <t>m/s</t>
  </si>
  <si>
    <t>g</t>
  </si>
  <si>
    <t>J</t>
  </si>
  <si>
    <t>Ns</t>
  </si>
  <si>
    <t>(mm)</t>
  </si>
  <si>
    <t>(m)</t>
  </si>
  <si>
    <t>gr</t>
  </si>
  <si>
    <t>Max Distance (Yards)</t>
  </si>
  <si>
    <t>Max Distance (m)</t>
  </si>
  <si>
    <t>min-mom</t>
  </si>
  <si>
    <t>min KE</t>
  </si>
  <si>
    <t>slug feet per sec</t>
  </si>
  <si>
    <t>minV</t>
  </si>
  <si>
    <t>#1</t>
  </si>
  <si>
    <t>#2</t>
  </si>
  <si>
    <t>#3</t>
  </si>
  <si>
    <t>#4</t>
  </si>
  <si>
    <t>#5</t>
  </si>
  <si>
    <t>#6</t>
  </si>
  <si>
    <t>TPI</t>
  </si>
  <si>
    <t>PI=</t>
  </si>
  <si>
    <t>*PA should be more than minV</t>
  </si>
  <si>
    <t>*PA should be more then minV</t>
  </si>
  <si>
    <t>#4+</t>
  </si>
  <si>
    <t>Average cutting diameter factor</t>
  </si>
  <si>
    <t>(1/1.32/1.43)</t>
  </si>
  <si>
    <t>(0.6/0.9/1)</t>
  </si>
  <si>
    <t>Saft Factor</t>
  </si>
  <si>
    <t>L/2</t>
  </si>
  <si>
    <t>BH</t>
  </si>
  <si>
    <t>Sw</t>
  </si>
  <si>
    <t>gpi</t>
  </si>
  <si>
    <t>SwL</t>
  </si>
  <si>
    <t>N+F</t>
  </si>
  <si>
    <t>Weight Tube</t>
  </si>
  <si>
    <t>Pw</t>
  </si>
  <si>
    <t>SwL^2</t>
  </si>
  <si>
    <t>Outer #</t>
  </si>
  <si>
    <t>x=</t>
  </si>
  <si>
    <t>/</t>
  </si>
  <si>
    <t>Spine</t>
  </si>
  <si>
    <t>Weight</t>
  </si>
  <si>
    <t>Inner #</t>
  </si>
  <si>
    <t>foc</t>
  </si>
  <si>
    <t>Shaft length</t>
  </si>
  <si>
    <t>Draw Weight</t>
  </si>
  <si>
    <t>lbs</t>
  </si>
  <si>
    <t>Nock</t>
  </si>
  <si>
    <t>Insert</t>
  </si>
  <si>
    <t>Fletches</t>
  </si>
  <si>
    <t>Total Weight</t>
  </si>
  <si>
    <t>Total S-Spine</t>
  </si>
  <si>
    <t>%</t>
  </si>
  <si>
    <t>FOC</t>
  </si>
  <si>
    <t>Nock point to balance</t>
  </si>
  <si>
    <t>Nockpoint to center of tip</t>
  </si>
  <si>
    <t>should be 38 to about 51%</t>
  </si>
  <si>
    <t>should be &gt;10%, and preferably &gt;15%</t>
  </si>
  <si>
    <t>inch or mm</t>
  </si>
  <si>
    <t xml:space="preserve"> should be 1e6 if you do not use 2 shafts</t>
  </si>
  <si>
    <t>id</t>
  </si>
  <si>
    <t>length</t>
  </si>
  <si>
    <t>g/cm3</t>
  </si>
  <si>
    <t>volume</t>
  </si>
  <si>
    <t>filler density</t>
  </si>
  <si>
    <t>weight</t>
  </si>
  <si>
    <t>desc</t>
  </si>
  <si>
    <t>#</t>
  </si>
  <si>
    <t>tip</t>
  </si>
  <si>
    <t>insert</t>
  </si>
  <si>
    <t>nock</t>
  </si>
  <si>
    <t>fletch</t>
  </si>
  <si>
    <t>DrawWeight</t>
  </si>
  <si>
    <t xml:space="preserve">Using Insert Weight, single/double shafts and weight tube </t>
  </si>
  <si>
    <t>Insert Weights</t>
  </si>
  <si>
    <t>Using measured COG</t>
  </si>
  <si>
    <t>Using arbitrary components</t>
  </si>
  <si>
    <t>Calculating GPI for weighing filler medium (wax/epoxy/silicon)</t>
  </si>
  <si>
    <t>inch</t>
  </si>
  <si>
    <t>cub.inch</t>
  </si>
  <si>
    <t>gr @ inch</t>
  </si>
  <si>
    <t>filler weight</t>
  </si>
  <si>
    <t>COG Pos*</t>
  </si>
  <si>
    <t>insert weight</t>
  </si>
  <si>
    <t>from</t>
  </si>
  <si>
    <t>to</t>
  </si>
  <si>
    <t>L</t>
  </si>
  <si>
    <t>COG</t>
  </si>
  <si>
    <t>Wt</t>
  </si>
  <si>
    <t>shaft</t>
  </si>
  <si>
    <t>point</t>
  </si>
  <si>
    <t>WtI</t>
  </si>
  <si>
    <t>tube</t>
  </si>
  <si>
    <t>weight denisty</t>
  </si>
  <si>
    <t>Using weight tubes and a positioned weight</t>
  </si>
  <si>
    <t>Aluminum</t>
  </si>
  <si>
    <t>Copper</t>
  </si>
  <si>
    <t>lead</t>
  </si>
  <si>
    <t>Iron</t>
  </si>
  <si>
    <t>mm&gt;inch</t>
  </si>
  <si>
    <t>inch&gt;mm</t>
  </si>
  <si>
    <t>total</t>
  </si>
  <si>
    <t>inner dia</t>
  </si>
  <si>
    <t>*component's cog distance (inches) from string when nocked</t>
  </si>
  <si>
    <t>gr/lbs</t>
  </si>
  <si>
    <t>Fn</t>
  </si>
  <si>
    <t>Fc</t>
  </si>
  <si>
    <t>Fc%</t>
  </si>
  <si>
    <t>Hz</t>
  </si>
  <si>
    <t>mass</t>
  </si>
  <si>
    <t>speed</t>
  </si>
  <si>
    <t>Mv</t>
  </si>
  <si>
    <t>Et</t>
  </si>
  <si>
    <t>E%</t>
  </si>
  <si>
    <t>DL</t>
  </si>
  <si>
    <t>DW</t>
  </si>
  <si>
    <t>Emax</t>
  </si>
  <si>
    <t>ft-lbs</t>
  </si>
  <si>
    <t>DL'</t>
  </si>
  <si>
    <t>DW'</t>
  </si>
  <si>
    <t>BH'</t>
  </si>
  <si>
    <t>mass'</t>
  </si>
  <si>
    <t>speed'</t>
  </si>
  <si>
    <t>KE'</t>
  </si>
  <si>
    <t>E%'</t>
  </si>
  <si>
    <t>Et'</t>
  </si>
  <si>
    <t>Emax'</t>
  </si>
  <si>
    <t>CamE</t>
  </si>
  <si>
    <t>Peep to Sight</t>
  </si>
  <si>
    <t>Y2</t>
  </si>
  <si>
    <t>Y1</t>
  </si>
  <si>
    <t>pin to pin</t>
  </si>
  <si>
    <t>Y</t>
  </si>
  <si>
    <t>Speed</t>
  </si>
  <si>
    <t>Arrow drop</t>
  </si>
  <si>
    <t>Y =</t>
  </si>
  <si>
    <t>1" arrow drop @</t>
  </si>
  <si>
    <t>Chrony with Sight</t>
  </si>
  <si>
    <t>Chrony with butt</t>
  </si>
  <si>
    <t>Sight adjustements</t>
  </si>
  <si>
    <t>Soft Iron</t>
  </si>
  <si>
    <t>Bone</t>
  </si>
  <si>
    <t>Brick</t>
  </si>
  <si>
    <t>Soil</t>
  </si>
  <si>
    <t>Wood</t>
  </si>
  <si>
    <t>Rubber</t>
  </si>
  <si>
    <t>Flesh</t>
  </si>
  <si>
    <t>N/mm2</t>
  </si>
  <si>
    <t>Strength</t>
  </si>
  <si>
    <t>Density</t>
  </si>
  <si>
    <t>Arrow mass</t>
  </si>
  <si>
    <t>grains</t>
  </si>
  <si>
    <t>Projectile Dia</t>
  </si>
  <si>
    <t>Area</t>
  </si>
  <si>
    <t>mm2</t>
  </si>
  <si>
    <t>grams</t>
  </si>
  <si>
    <t>KE(ft-lbs)</t>
  </si>
  <si>
    <t>V</t>
  </si>
  <si>
    <t>M</t>
  </si>
  <si>
    <t>Bow Analysis</t>
  </si>
  <si>
    <t>Speed Predictions</t>
  </si>
  <si>
    <t>BH Blades</t>
  </si>
  <si>
    <t>CutLength</t>
  </si>
  <si>
    <t>Mr</t>
  </si>
  <si>
    <t>Mass</t>
  </si>
  <si>
    <t>v</t>
  </si>
  <si>
    <t>gr/#</t>
  </si>
  <si>
    <t>Field point Penetration Predictions</t>
  </si>
  <si>
    <t>FP Penetration</t>
  </si>
  <si>
    <t xml:space="preserve">Fr </t>
  </si>
  <si>
    <t>HPDi</t>
  </si>
  <si>
    <t>Shaft Factor</t>
  </si>
  <si>
    <t>0.6/0.9/1</t>
  </si>
  <si>
    <r>
      <t>RI = 4.08 x blade count x ( (dia – 0.3)/2 )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/ edge</t>
    </r>
  </si>
  <si>
    <t>v^2m + v^2Km^3 + v^2M - 450240E = 0</t>
  </si>
  <si>
    <t>E</t>
  </si>
  <si>
    <t>K</t>
  </si>
  <si>
    <t>v^2m^3</t>
  </si>
  <si>
    <t>v^2</t>
  </si>
  <si>
    <t>v^2m</t>
  </si>
  <si>
    <t>Et = (m+M+Km^3)v^2/450240</t>
  </si>
  <si>
    <t>Mom</t>
  </si>
  <si>
    <t>grain^-2</t>
  </si>
  <si>
    <t>centi-slugs</t>
  </si>
  <si>
    <t>AdjV</t>
  </si>
  <si>
    <t>PA</t>
  </si>
  <si>
    <t>same size</t>
  </si>
  <si>
    <t>thinner</t>
  </si>
  <si>
    <t>thicker</t>
  </si>
  <si>
    <t>two blader</t>
  </si>
  <si>
    <t>three blader</t>
  </si>
  <si>
    <t>four blader</t>
  </si>
  <si>
    <t>same</t>
  </si>
  <si>
    <t>2 blades</t>
  </si>
  <si>
    <t>3 blades</t>
  </si>
  <si>
    <t>4 blades</t>
  </si>
  <si>
    <t>KE-650</t>
  </si>
  <si>
    <t>KE-350</t>
  </si>
  <si>
    <t>7.5"</t>
  </si>
  <si>
    <t>9.5"</t>
  </si>
  <si>
    <t>11.5"</t>
  </si>
  <si>
    <t>16"</t>
  </si>
  <si>
    <t>19"</t>
  </si>
  <si>
    <t>20.5"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</si>
</sst>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23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indexed="22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0" fillId="6" borderId="15" applyNumberFormat="0" applyAlignment="0" applyProtection="0"/>
    <xf numFmtId="0" fontId="21" fillId="7" borderId="0" applyNumberFormat="0" applyBorder="0" applyAlignment="0" applyProtection="0"/>
  </cellStyleXfs>
  <cellXfs count="136">
    <xf numFmtId="0" fontId="0" fillId="0" borderId="0" xfId="0"/>
    <xf numFmtId="0" fontId="0" fillId="2" borderId="0" xfId="0" applyFill="1"/>
    <xf numFmtId="1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right"/>
    </xf>
    <xf numFmtId="1" fontId="2" fillId="2" borderId="0" xfId="0" applyNumberFormat="1" applyFont="1" applyFill="1"/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1" fontId="0" fillId="2" borderId="0" xfId="0" applyNumberForma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65" fontId="20" fillId="6" borderId="0" xfId="1" applyNumberFormat="1" applyBorder="1"/>
    <xf numFmtId="0" fontId="6" fillId="7" borderId="0" xfId="2" applyFont="1" applyBorder="1"/>
    <xf numFmtId="164" fontId="6" fillId="7" borderId="0" xfId="2" applyNumberFormat="1" applyFont="1" applyBorder="1"/>
    <xf numFmtId="0" fontId="6" fillId="7" borderId="0" xfId="2" applyFont="1"/>
    <xf numFmtId="2" fontId="6" fillId="7" borderId="0" xfId="2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4" fillId="2" borderId="0" xfId="0" applyNumberFormat="1" applyFont="1" applyFill="1" applyBorder="1"/>
    <xf numFmtId="1" fontId="4" fillId="2" borderId="0" xfId="0" applyNumberFormat="1" applyFont="1" applyFill="1" applyBorder="1"/>
    <xf numFmtId="1" fontId="0" fillId="2" borderId="0" xfId="0" applyNumberFormat="1" applyFill="1" applyBorder="1"/>
    <xf numFmtId="1" fontId="6" fillId="7" borderId="0" xfId="2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4" fillId="2" borderId="3" xfId="0" applyNumberFormat="1" applyFont="1" applyFill="1" applyBorder="1"/>
    <xf numFmtId="1" fontId="4" fillId="2" borderId="3" xfId="0" applyNumberFormat="1" applyFont="1" applyFill="1" applyBorder="1"/>
    <xf numFmtId="1" fontId="0" fillId="2" borderId="3" xfId="0" applyNumberFormat="1" applyFill="1" applyBorder="1"/>
    <xf numFmtId="1" fontId="6" fillId="7" borderId="3" xfId="2" applyNumberFormat="1" applyFont="1" applyBorder="1" applyAlignment="1">
      <alignment horizontal="center"/>
    </xf>
    <xf numFmtId="0" fontId="0" fillId="2" borderId="0" xfId="0" applyNumberFormat="1" applyFill="1" applyBorder="1"/>
    <xf numFmtId="0" fontId="3" fillId="2" borderId="7" xfId="0" applyFont="1" applyFill="1" applyBorder="1" applyAlignment="1">
      <alignment horizontal="center"/>
    </xf>
    <xf numFmtId="2" fontId="5" fillId="2" borderId="7" xfId="2" applyNumberFormat="1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2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165" fontId="0" fillId="2" borderId="0" xfId="0" applyNumberFormat="1" applyFill="1" applyBorder="1"/>
    <xf numFmtId="0" fontId="0" fillId="2" borderId="0" xfId="0" applyFill="1" applyBorder="1" applyProtection="1"/>
    <xf numFmtId="0" fontId="0" fillId="2" borderId="0" xfId="0" applyFill="1" applyBorder="1" applyAlignment="1">
      <alignment horizontal="left"/>
    </xf>
    <xf numFmtId="165" fontId="0" fillId="2" borderId="3" xfId="0" applyNumberFormat="1" applyFill="1" applyBorder="1"/>
    <xf numFmtId="0" fontId="8" fillId="2" borderId="0" xfId="0" applyFont="1" applyFill="1"/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9" fillId="2" borderId="7" xfId="0" applyFont="1" applyFill="1" applyBorder="1"/>
    <xf numFmtId="0" fontId="0" fillId="2" borderId="7" xfId="0" applyFill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0" fillId="2" borderId="6" xfId="0" applyFill="1" applyBorder="1"/>
    <xf numFmtId="0" fontId="0" fillId="2" borderId="8" xfId="0" applyFill="1" applyBorder="1"/>
    <xf numFmtId="0" fontId="9" fillId="2" borderId="0" xfId="0" applyFont="1" applyFill="1" applyBorder="1"/>
    <xf numFmtId="0" fontId="12" fillId="4" borderId="5" xfId="0" applyFont="1" applyFill="1" applyBorder="1"/>
    <xf numFmtId="0" fontId="12" fillId="4" borderId="7" xfId="0" applyFont="1" applyFill="1" applyBorder="1"/>
    <xf numFmtId="0" fontId="0" fillId="3" borderId="10" xfId="0" applyFill="1" applyBorder="1" applyProtection="1">
      <protection locked="0"/>
    </xf>
    <xf numFmtId="0" fontId="9" fillId="2" borderId="4" xfId="0" applyFont="1" applyFill="1" applyBorder="1"/>
    <xf numFmtId="0" fontId="2" fillId="2" borderId="4" xfId="0" applyFont="1" applyFill="1" applyBorder="1"/>
    <xf numFmtId="0" fontId="10" fillId="2" borderId="0" xfId="0" applyFont="1" applyFill="1"/>
    <xf numFmtId="0" fontId="11" fillId="2" borderId="0" xfId="0" applyFont="1" applyFill="1" applyBorder="1"/>
    <xf numFmtId="165" fontId="7" fillId="2" borderId="0" xfId="0" applyNumberFormat="1" applyFont="1" applyFill="1" applyBorder="1"/>
    <xf numFmtId="2" fontId="7" fillId="4" borderId="0" xfId="0" applyNumberFormat="1" applyFont="1" applyFill="1" applyBorder="1"/>
    <xf numFmtId="165" fontId="0" fillId="2" borderId="0" xfId="0" applyNumberFormat="1" applyFill="1"/>
    <xf numFmtId="0" fontId="11" fillId="2" borderId="6" xfId="0" applyFont="1" applyFill="1" applyBorder="1"/>
    <xf numFmtId="0" fontId="0" fillId="0" borderId="0" xfId="0" applyBorder="1" applyProtection="1">
      <protection locked="0"/>
    </xf>
    <xf numFmtId="0" fontId="13" fillId="2" borderId="0" xfId="0" applyFont="1" applyFill="1"/>
    <xf numFmtId="0" fontId="14" fillId="2" borderId="0" xfId="0" applyFont="1" applyFill="1"/>
    <xf numFmtId="0" fontId="13" fillId="3" borderId="9" xfId="0" applyFont="1" applyFill="1" applyBorder="1"/>
    <xf numFmtId="0" fontId="13" fillId="2" borderId="0" xfId="0" applyFont="1" applyFill="1" applyAlignment="1">
      <alignment horizontal="right"/>
    </xf>
    <xf numFmtId="1" fontId="13" fillId="2" borderId="0" xfId="0" applyNumberFormat="1" applyFont="1" applyFill="1"/>
    <xf numFmtId="2" fontId="13" fillId="2" borderId="0" xfId="0" applyNumberFormat="1" applyFont="1" applyFill="1"/>
    <xf numFmtId="165" fontId="13" fillId="2" borderId="0" xfId="0" applyNumberFormat="1" applyFont="1" applyFill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7" xfId="0" applyFont="1" applyFill="1" applyBorder="1"/>
    <xf numFmtId="0" fontId="13" fillId="3" borderId="10" xfId="0" applyFont="1" applyFill="1" applyBorder="1"/>
    <xf numFmtId="0" fontId="13" fillId="3" borderId="11" xfId="0" applyFont="1" applyFill="1" applyBorder="1"/>
    <xf numFmtId="0" fontId="13" fillId="3" borderId="12" xfId="0" applyFont="1" applyFill="1" applyBorder="1"/>
    <xf numFmtId="0" fontId="13" fillId="2" borderId="3" xfId="0" applyFont="1" applyFill="1" applyBorder="1"/>
    <xf numFmtId="0" fontId="13" fillId="2" borderId="8" xfId="0" applyFont="1" applyFill="1" applyBorder="1"/>
    <xf numFmtId="0" fontId="15" fillId="0" borderId="0" xfId="0" applyFont="1"/>
    <xf numFmtId="0" fontId="13" fillId="5" borderId="13" xfId="0" applyFont="1" applyFill="1" applyBorder="1"/>
    <xf numFmtId="0" fontId="13" fillId="5" borderId="14" xfId="0" applyFont="1" applyFill="1" applyBorder="1"/>
    <xf numFmtId="0" fontId="13" fillId="5" borderId="9" xfId="0" applyFont="1" applyFill="1" applyBorder="1"/>
    <xf numFmtId="0" fontId="17" fillId="2" borderId="0" xfId="0" applyFont="1" applyFill="1"/>
    <xf numFmtId="0" fontId="18" fillId="2" borderId="0" xfId="0" applyFont="1" applyFill="1"/>
    <xf numFmtId="165" fontId="18" fillId="2" borderId="0" xfId="0" applyNumberFormat="1" applyFont="1" applyFill="1"/>
    <xf numFmtId="0" fontId="13" fillId="2" borderId="6" xfId="0" applyFont="1" applyFill="1" applyBorder="1"/>
    <xf numFmtId="0" fontId="19" fillId="2" borderId="0" xfId="0" applyFont="1" applyFill="1"/>
    <xf numFmtId="0" fontId="0" fillId="3" borderId="9" xfId="0" applyFill="1" applyBorder="1"/>
    <xf numFmtId="0" fontId="0" fillId="3" borderId="0" xfId="0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3" fillId="3" borderId="13" xfId="0" applyFont="1" applyFill="1" applyBorder="1"/>
    <xf numFmtId="165" fontId="13" fillId="2" borderId="2" xfId="0" applyNumberFormat="1" applyFont="1" applyFill="1" applyBorder="1"/>
    <xf numFmtId="165" fontId="13" fillId="2" borderId="0" xfId="0" applyNumberFormat="1" applyFont="1" applyFill="1" applyBorder="1"/>
    <xf numFmtId="165" fontId="13" fillId="2" borderId="3" xfId="0" applyNumberFormat="1" applyFont="1" applyFill="1" applyBorder="1"/>
    <xf numFmtId="0" fontId="1" fillId="2" borderId="0" xfId="0" applyFont="1" applyFill="1" applyBorder="1" applyAlignment="1">
      <alignment horizontal="right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1" fillId="2" borderId="0" xfId="0" applyFont="1" applyFill="1"/>
    <xf numFmtId="0" fontId="1" fillId="8" borderId="0" xfId="0" applyFont="1" applyFill="1" applyProtection="1">
      <protection locked="0"/>
    </xf>
    <xf numFmtId="0" fontId="1" fillId="2" borderId="0" xfId="0" applyFont="1" applyFill="1" applyBorder="1"/>
    <xf numFmtId="0" fontId="1" fillId="2" borderId="0" xfId="0" applyNumberFormat="1" applyFont="1" applyFill="1" applyBorder="1"/>
    <xf numFmtId="0" fontId="0" fillId="8" borderId="0" xfId="0" applyFill="1" applyProtection="1">
      <protection locked="0"/>
    </xf>
    <xf numFmtId="0" fontId="1" fillId="2" borderId="0" xfId="0" applyFont="1" applyFill="1" applyAlignment="1">
      <alignment horizontal="right"/>
    </xf>
    <xf numFmtId="11" fontId="0" fillId="3" borderId="9" xfId="0" applyNumberFormat="1" applyFill="1" applyBorder="1"/>
    <xf numFmtId="165" fontId="1" fillId="3" borderId="0" xfId="0" applyNumberFormat="1" applyFont="1" applyFill="1"/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 textRotation="90"/>
    </xf>
    <xf numFmtId="0" fontId="0" fillId="0" borderId="0" xfId="0"/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</cellXfs>
  <cellStyles count="3">
    <cellStyle name="Check Cell" xfId="1" builtinId="23"/>
    <cellStyle name="Go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90281563361963"/>
          <c:y val="6.8783246484495089E-2"/>
          <c:w val="0.72796406603526453"/>
          <c:h val="0.75397020184927332"/>
        </c:manualLayout>
      </c:layout>
      <c:scatterChart>
        <c:scatterStyle val="smoothMarker"/>
        <c:ser>
          <c:idx val="0"/>
          <c:order val="0"/>
          <c:tx>
            <c:v>Speed'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'[1]Calc Mv'!$G$24:$G$40</c:f>
              <c:numCache>
                <c:formatCode>General</c:formatCode>
                <c:ptCount val="17"/>
                <c:pt idx="0">
                  <c:v>350</c:v>
                </c:pt>
                <c:pt idx="1">
                  <c:v>375</c:v>
                </c:pt>
                <c:pt idx="2">
                  <c:v>400</c:v>
                </c:pt>
                <c:pt idx="3">
                  <c:v>425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525</c:v>
                </c:pt>
                <c:pt idx="8">
                  <c:v>550</c:v>
                </c:pt>
                <c:pt idx="9">
                  <c:v>575</c:v>
                </c:pt>
                <c:pt idx="10">
                  <c:v>600</c:v>
                </c:pt>
                <c:pt idx="11">
                  <c:v>625</c:v>
                </c:pt>
                <c:pt idx="12">
                  <c:v>650</c:v>
                </c:pt>
                <c:pt idx="13">
                  <c:v>675</c:v>
                </c:pt>
                <c:pt idx="14">
                  <c:v>700</c:v>
                </c:pt>
                <c:pt idx="15">
                  <c:v>725</c:v>
                </c:pt>
                <c:pt idx="16">
                  <c:v>750</c:v>
                </c:pt>
              </c:numCache>
            </c:numRef>
          </c:xVal>
          <c:yVal>
            <c:numRef>
              <c:f>'[1]Calc Mv'!$H$24:$H$40</c:f>
              <c:numCache>
                <c:formatCode>General</c:formatCode>
                <c:ptCount val="17"/>
                <c:pt idx="0">
                  <c:v>327.94981323367148</c:v>
                </c:pt>
                <c:pt idx="1">
                  <c:v>319.01216884465043</c:v>
                </c:pt>
                <c:pt idx="2">
                  <c:v>310.76756587520521</c:v>
                </c:pt>
                <c:pt idx="3">
                  <c:v>303.1308320828208</c:v>
                </c:pt>
                <c:pt idx="4">
                  <c:v>296.03076416705971</c:v>
                </c:pt>
                <c:pt idx="5">
                  <c:v>289.40731378860539</c:v>
                </c:pt>
                <c:pt idx="6">
                  <c:v>283.20943678618085</c:v>
                </c:pt>
                <c:pt idx="7">
                  <c:v>277.39342844837091</c:v>
                </c:pt>
                <c:pt idx="8">
                  <c:v>271.92162014080458</c:v>
                </c:pt>
                <c:pt idx="9">
                  <c:v>266.76134810370348</c:v>
                </c:pt>
                <c:pt idx="10">
                  <c:v>261.88412970492192</c:v>
                </c:pt>
                <c:pt idx="11">
                  <c:v>257.26499956270771</c:v>
                </c:pt>
                <c:pt idx="12">
                  <c:v>252.88197011809842</c:v>
                </c:pt>
                <c:pt idx="13">
                  <c:v>248.71558999363583</c:v>
                </c:pt>
                <c:pt idx="14">
                  <c:v>244.74857985649714</c:v>
                </c:pt>
                <c:pt idx="15">
                  <c:v>240.96553020809068</c:v>
                </c:pt>
                <c:pt idx="16">
                  <c:v>237.35264902671722</c:v>
                </c:pt>
              </c:numCache>
            </c:numRef>
          </c:yVal>
          <c:smooth val="1"/>
        </c:ser>
        <c:ser>
          <c:idx val="1"/>
          <c:order val="1"/>
          <c:tx>
            <c:v>KE'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'[1]Calc Mv'!$G$24:$G$40</c:f>
              <c:numCache>
                <c:formatCode>General</c:formatCode>
                <c:ptCount val="17"/>
                <c:pt idx="0">
                  <c:v>350</c:v>
                </c:pt>
                <c:pt idx="1">
                  <c:v>375</c:v>
                </c:pt>
                <c:pt idx="2">
                  <c:v>400</c:v>
                </c:pt>
                <c:pt idx="3">
                  <c:v>425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525</c:v>
                </c:pt>
                <c:pt idx="8">
                  <c:v>550</c:v>
                </c:pt>
                <c:pt idx="9">
                  <c:v>575</c:v>
                </c:pt>
                <c:pt idx="10">
                  <c:v>600</c:v>
                </c:pt>
                <c:pt idx="11">
                  <c:v>625</c:v>
                </c:pt>
                <c:pt idx="12">
                  <c:v>650</c:v>
                </c:pt>
                <c:pt idx="13">
                  <c:v>675</c:v>
                </c:pt>
                <c:pt idx="14">
                  <c:v>700</c:v>
                </c:pt>
                <c:pt idx="15">
                  <c:v>725</c:v>
                </c:pt>
                <c:pt idx="16">
                  <c:v>750</c:v>
                </c:pt>
              </c:numCache>
            </c:numRef>
          </c:xVal>
          <c:yVal>
            <c:numRef>
              <c:f>'[1]Calc Mv'!$I$24:$I$40</c:f>
              <c:numCache>
                <c:formatCode>General</c:formatCode>
                <c:ptCount val="17"/>
                <c:pt idx="0">
                  <c:v>83.606250000000003</c:v>
                </c:pt>
                <c:pt idx="1">
                  <c:v>84.762096774193552</c:v>
                </c:pt>
                <c:pt idx="2">
                  <c:v>85.800000000000011</c:v>
                </c:pt>
                <c:pt idx="3">
                  <c:v>86.737135922330097</c:v>
                </c:pt>
                <c:pt idx="4">
                  <c:v>87.587500000000006</c:v>
                </c:pt>
                <c:pt idx="5">
                  <c:v>88.362610619469038</c:v>
                </c:pt>
                <c:pt idx="6">
                  <c:v>89.072033898305094</c:v>
                </c:pt>
                <c:pt idx="7">
                  <c:v>89.723780487804888</c:v>
                </c:pt>
                <c:pt idx="8">
                  <c:v>90.324609375000037</c:v>
                </c:pt>
                <c:pt idx="9">
                  <c:v>90.880263157894731</c:v>
                </c:pt>
                <c:pt idx="10">
                  <c:v>91.395652173913064</c:v>
                </c:pt>
                <c:pt idx="11">
                  <c:v>91.875</c:v>
                </c:pt>
                <c:pt idx="12">
                  <c:v>92.321959459459478</c:v>
                </c:pt>
                <c:pt idx="13">
                  <c:v>92.739705882352951</c:v>
                </c:pt>
                <c:pt idx="14">
                  <c:v>93.13101265822786</c:v>
                </c:pt>
                <c:pt idx="15">
                  <c:v>93.498312883435574</c:v>
                </c:pt>
                <c:pt idx="16">
                  <c:v>93.84375</c:v>
                </c:pt>
              </c:numCache>
            </c:numRef>
          </c:yVal>
          <c:smooth val="1"/>
        </c:ser>
        <c:ser>
          <c:idx val="2"/>
          <c:order val="2"/>
          <c:tx>
            <c:v>Speed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'[1]Calc Mv'!$G$4:$G$20</c:f>
              <c:numCache>
                <c:formatCode>General</c:formatCode>
                <c:ptCount val="17"/>
                <c:pt idx="0">
                  <c:v>350</c:v>
                </c:pt>
                <c:pt idx="1">
                  <c:v>375</c:v>
                </c:pt>
                <c:pt idx="2">
                  <c:v>400</c:v>
                </c:pt>
                <c:pt idx="3">
                  <c:v>425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525</c:v>
                </c:pt>
                <c:pt idx="8">
                  <c:v>550</c:v>
                </c:pt>
                <c:pt idx="9">
                  <c:v>575</c:v>
                </c:pt>
                <c:pt idx="10">
                  <c:v>600</c:v>
                </c:pt>
                <c:pt idx="11">
                  <c:v>625</c:v>
                </c:pt>
                <c:pt idx="12">
                  <c:v>650</c:v>
                </c:pt>
                <c:pt idx="13">
                  <c:v>675</c:v>
                </c:pt>
                <c:pt idx="14">
                  <c:v>700</c:v>
                </c:pt>
                <c:pt idx="15">
                  <c:v>725</c:v>
                </c:pt>
                <c:pt idx="16">
                  <c:v>750</c:v>
                </c:pt>
              </c:numCache>
            </c:numRef>
          </c:xVal>
          <c:yVal>
            <c:numRef>
              <c:f>'[1]Calc Mv'!$H$4:$H$20</c:f>
              <c:numCache>
                <c:formatCode>General</c:formatCode>
                <c:ptCount val="17"/>
                <c:pt idx="0">
                  <c:v>334.10700892115773</c:v>
                </c:pt>
                <c:pt idx="1">
                  <c:v>325.0302908505214</c:v>
                </c:pt>
                <c:pt idx="2">
                  <c:v>316.65529153971011</c:v>
                </c:pt>
                <c:pt idx="3">
                  <c:v>308.89601785959712</c:v>
                </c:pt>
                <c:pt idx="4">
                  <c:v>301.68054197087918</c:v>
                </c:pt>
                <c:pt idx="5">
                  <c:v>294.94817528340195</c:v>
                </c:pt>
                <c:pt idx="6">
                  <c:v>288.64730680163689</c:v>
                </c:pt>
                <c:pt idx="7">
                  <c:v>282.73372881861746</c:v>
                </c:pt>
                <c:pt idx="8">
                  <c:v>277.16932521297218</c:v>
                </c:pt>
                <c:pt idx="9">
                  <c:v>271.92103305307694</c:v>
                </c:pt>
                <c:pt idx="10">
                  <c:v>266.9600126609605</c:v>
                </c:pt>
                <c:pt idx="11">
                  <c:v>262.26097841765215</c:v>
                </c:pt>
                <c:pt idx="12">
                  <c:v>257.80165476711932</c:v>
                </c:pt>
                <c:pt idx="13">
                  <c:v>253.5623306462725</c:v>
                </c:pt>
                <c:pt idx="14">
                  <c:v>249.5254919642087</c:v>
                </c:pt>
                <c:pt idx="15">
                  <c:v>245.67551647135957</c:v>
                </c:pt>
                <c:pt idx="16">
                  <c:v>241.99841887594346</c:v>
                </c:pt>
              </c:numCache>
            </c:numRef>
          </c:yVal>
          <c:smooth val="1"/>
        </c:ser>
        <c:ser>
          <c:idx val="3"/>
          <c:order val="3"/>
          <c:tx>
            <c:v>KE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'[1]Calc Mv'!$G$4:$G$20</c:f>
              <c:numCache>
                <c:formatCode>General</c:formatCode>
                <c:ptCount val="17"/>
                <c:pt idx="0">
                  <c:v>350</c:v>
                </c:pt>
                <c:pt idx="1">
                  <c:v>375</c:v>
                </c:pt>
                <c:pt idx="2">
                  <c:v>400</c:v>
                </c:pt>
                <c:pt idx="3">
                  <c:v>425</c:v>
                </c:pt>
                <c:pt idx="4">
                  <c:v>450</c:v>
                </c:pt>
                <c:pt idx="5">
                  <c:v>475</c:v>
                </c:pt>
                <c:pt idx="6">
                  <c:v>500</c:v>
                </c:pt>
                <c:pt idx="7">
                  <c:v>525</c:v>
                </c:pt>
                <c:pt idx="8">
                  <c:v>550</c:v>
                </c:pt>
                <c:pt idx="9">
                  <c:v>575</c:v>
                </c:pt>
                <c:pt idx="10">
                  <c:v>600</c:v>
                </c:pt>
                <c:pt idx="11">
                  <c:v>625</c:v>
                </c:pt>
                <c:pt idx="12">
                  <c:v>650</c:v>
                </c:pt>
                <c:pt idx="13">
                  <c:v>675</c:v>
                </c:pt>
                <c:pt idx="14">
                  <c:v>700</c:v>
                </c:pt>
                <c:pt idx="15">
                  <c:v>725</c:v>
                </c:pt>
                <c:pt idx="16">
                  <c:v>750</c:v>
                </c:pt>
              </c:numCache>
            </c:numRef>
          </c:xVal>
          <c:yVal>
            <c:numRef>
              <c:f>'[1]Calc Mv'!$I$4:$I$20</c:f>
              <c:numCache>
                <c:formatCode>General</c:formatCode>
                <c:ptCount val="17"/>
                <c:pt idx="0">
                  <c:v>86.775103708210949</c:v>
                </c:pt>
                <c:pt idx="1">
                  <c:v>87.990313474792231</c:v>
                </c:pt>
                <c:pt idx="2">
                  <c:v>89.081888468460193</c:v>
                </c:pt>
                <c:pt idx="3">
                  <c:v>90.06778315130714</c:v>
                </c:pt>
                <c:pt idx="4">
                  <c:v>90.962635997977799</c:v>
                </c:pt>
                <c:pt idx="5">
                  <c:v>91.778501241402324</c:v>
                </c:pt>
                <c:pt idx="6">
                  <c:v>92.525395038022253</c:v>
                </c:pt>
                <c:pt idx="7">
                  <c:v>93.211708735633778</c:v>
                </c:pt>
                <c:pt idx="8">
                  <c:v>93.844525500750464</c:v>
                </c:pt>
                <c:pt idx="9">
                  <c:v>94.429865681803534</c:v>
                </c:pt>
                <c:pt idx="10">
                  <c:v>94.972878944483199</c:v>
                </c:pt>
                <c:pt idx="11">
                  <c:v>95.477996180626178</c:v>
                </c:pt>
                <c:pt idx="12">
                  <c:v>95.949050685039609</c:v>
                </c:pt>
                <c:pt idx="13">
                  <c:v>96.38937561715862</c:v>
                </c:pt>
                <c:pt idx="14">
                  <c:v>96.801882991263014</c:v>
                </c:pt>
                <c:pt idx="15">
                  <c:v>97.189128154462537</c:v>
                </c:pt>
                <c:pt idx="16">
                  <c:v>97.553362770616644</c:v>
                </c:pt>
              </c:numCache>
            </c:numRef>
          </c:yVal>
          <c:smooth val="1"/>
        </c:ser>
        <c:axId val="67046784"/>
        <c:axId val="67069440"/>
      </c:scatterChart>
      <c:valAx>
        <c:axId val="670467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69440"/>
        <c:crosses val="autoZero"/>
        <c:crossBetween val="midCat"/>
      </c:valAx>
      <c:valAx>
        <c:axId val="67069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467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44028520499128"/>
          <c:y val="0.33862433862433872"/>
          <c:w val="0.11408199643493765"/>
          <c:h val="0.21428571428571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1428669124033214E-2"/>
          <c:y val="6.6666833600845382E-2"/>
          <c:w val="0.62325015216068191"/>
          <c:h val="0.8153866571180316"/>
        </c:manualLayout>
      </c:layout>
      <c:scatterChart>
        <c:scatterStyle val="smoothMarker"/>
        <c:ser>
          <c:idx val="0"/>
          <c:order val="0"/>
          <c:tx>
            <c:v>Speed</c:v>
          </c:tx>
          <c:xVal>
            <c:numRef>
              <c:f>'vmK model'!$C$23:$C$47</c:f>
              <c:numCache>
                <c:formatCode>General</c:formatCode>
                <c:ptCount val="25"/>
                <c:pt idx="0">
                  <c:v>400</c:v>
                </c:pt>
                <c:pt idx="1">
                  <c:v>425</c:v>
                </c:pt>
                <c:pt idx="2">
                  <c:v>450</c:v>
                </c:pt>
                <c:pt idx="3">
                  <c:v>475</c:v>
                </c:pt>
                <c:pt idx="4">
                  <c:v>500</c:v>
                </c:pt>
                <c:pt idx="5">
                  <c:v>525</c:v>
                </c:pt>
                <c:pt idx="6">
                  <c:v>550</c:v>
                </c:pt>
                <c:pt idx="7">
                  <c:v>575</c:v>
                </c:pt>
                <c:pt idx="8">
                  <c:v>600</c:v>
                </c:pt>
                <c:pt idx="9">
                  <c:v>625</c:v>
                </c:pt>
                <c:pt idx="10">
                  <c:v>650</c:v>
                </c:pt>
                <c:pt idx="11">
                  <c:v>675</c:v>
                </c:pt>
                <c:pt idx="12">
                  <c:v>700</c:v>
                </c:pt>
                <c:pt idx="13">
                  <c:v>725</c:v>
                </c:pt>
                <c:pt idx="14">
                  <c:v>750</c:v>
                </c:pt>
                <c:pt idx="15">
                  <c:v>775</c:v>
                </c:pt>
                <c:pt idx="16">
                  <c:v>800</c:v>
                </c:pt>
                <c:pt idx="17">
                  <c:v>825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975</c:v>
                </c:pt>
                <c:pt idx="24">
                  <c:v>1000</c:v>
                </c:pt>
              </c:numCache>
            </c:numRef>
          </c:xVal>
          <c:yVal>
            <c:numRef>
              <c:f>'vmK model'!$D$23:$D$47</c:f>
              <c:numCache>
                <c:formatCode>0</c:formatCode>
                <c:ptCount val="25"/>
                <c:pt idx="0">
                  <c:v>306.79229847904821</c:v>
                </c:pt>
                <c:pt idx="1">
                  <c:v>300.58801863850653</c:v>
                </c:pt>
                <c:pt idx="2">
                  <c:v>294.53700666851387</c:v>
                </c:pt>
                <c:pt idx="3">
                  <c:v>288.62952405968605</c:v>
                </c:pt>
                <c:pt idx="4">
                  <c:v>282.85738033207105</c:v>
                </c:pt>
                <c:pt idx="5">
                  <c:v>277.21369239891669</c:v>
                </c:pt>
                <c:pt idx="6">
                  <c:v>271.69267786131815</c:v>
                </c:pt>
                <c:pt idx="7">
                  <c:v>266.2894770975148</c:v>
                </c:pt>
                <c:pt idx="8">
                  <c:v>261</c:v>
                </c:pt>
                <c:pt idx="9">
                  <c:v>255.82079396944113</c:v>
                </c:pt>
                <c:pt idx="10">
                  <c:v>250.74893035529917</c:v>
                </c:pt>
                <c:pt idx="11">
                  <c:v>245.78190698281273</c:v>
                </c:pt>
                <c:pt idx="12">
                  <c:v>240.91756475755699</c:v>
                </c:pt>
                <c:pt idx="13">
                  <c:v>236.15401661682273</c:v>
                </c:pt>
                <c:pt idx="14">
                  <c:v>231.48958732015134</c:v>
                </c:pt>
                <c:pt idx="15">
                  <c:v>226.92276275341717</c:v>
                </c:pt>
                <c:pt idx="16">
                  <c:v>222.45214757222158</c:v>
                </c:pt>
                <c:pt idx="17">
                  <c:v>218.07643013871265</c:v>
                </c:pt>
                <c:pt idx="18">
                  <c:v>213.79435381687389</c:v>
                </c:pt>
                <c:pt idx="19">
                  <c:v>209.60469378888882</c:v>
                </c:pt>
                <c:pt idx="20">
                  <c:v>205.50623864228214</c:v>
                </c:pt>
                <c:pt idx="21">
                  <c:v>201.49777605620056</c:v>
                </c:pt>
                <c:pt idx="22">
                  <c:v>197.57808198684106</c:v>
                </c:pt>
                <c:pt idx="23">
                  <c:v>193.7459128176333</c:v>
                </c:pt>
                <c:pt idx="24">
                  <c:v>189.99999999999997</c:v>
                </c:pt>
              </c:numCache>
            </c:numRef>
          </c:yVal>
          <c:smooth val="1"/>
        </c:ser>
        <c:axId val="67653632"/>
        <c:axId val="67655168"/>
      </c:scatterChart>
      <c:scatterChart>
        <c:scatterStyle val="lineMarker"/>
        <c:ser>
          <c:idx val="1"/>
          <c:order val="1"/>
          <c:tx>
            <c:v>Momentum</c:v>
          </c:tx>
          <c:xVal>
            <c:numRef>
              <c:f>'vmK model'!$C$23:$C$47</c:f>
              <c:numCache>
                <c:formatCode>General</c:formatCode>
                <c:ptCount val="25"/>
                <c:pt idx="0">
                  <c:v>400</c:v>
                </c:pt>
                <c:pt idx="1">
                  <c:v>425</c:v>
                </c:pt>
                <c:pt idx="2">
                  <c:v>450</c:v>
                </c:pt>
                <c:pt idx="3">
                  <c:v>475</c:v>
                </c:pt>
                <c:pt idx="4">
                  <c:v>500</c:v>
                </c:pt>
                <c:pt idx="5">
                  <c:v>525</c:v>
                </c:pt>
                <c:pt idx="6">
                  <c:v>550</c:v>
                </c:pt>
                <c:pt idx="7">
                  <c:v>575</c:v>
                </c:pt>
                <c:pt idx="8">
                  <c:v>600</c:v>
                </c:pt>
                <c:pt idx="9">
                  <c:v>625</c:v>
                </c:pt>
                <c:pt idx="10">
                  <c:v>650</c:v>
                </c:pt>
                <c:pt idx="11">
                  <c:v>675</c:v>
                </c:pt>
                <c:pt idx="12">
                  <c:v>700</c:v>
                </c:pt>
                <c:pt idx="13">
                  <c:v>725</c:v>
                </c:pt>
                <c:pt idx="14">
                  <c:v>750</c:v>
                </c:pt>
                <c:pt idx="15">
                  <c:v>775</c:v>
                </c:pt>
                <c:pt idx="16">
                  <c:v>800</c:v>
                </c:pt>
                <c:pt idx="17">
                  <c:v>825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975</c:v>
                </c:pt>
                <c:pt idx="24">
                  <c:v>1000</c:v>
                </c:pt>
              </c:numCache>
            </c:numRef>
          </c:xVal>
          <c:yVal>
            <c:numRef>
              <c:f>'vmK model'!$E$23:$E$47</c:f>
              <c:numCache>
                <c:formatCode>0</c:formatCode>
                <c:ptCount val="25"/>
                <c:pt idx="0">
                  <c:v>54.511780113548014</c:v>
                </c:pt>
                <c:pt idx="1">
                  <c:v>56.747471535787696</c:v>
                </c:pt>
                <c:pt idx="2">
                  <c:v>58.876000799942808</c:v>
                </c:pt>
                <c:pt idx="3">
                  <c:v>60.900419300084799</c:v>
                </c:pt>
                <c:pt idx="4">
                  <c:v>62.823689661529635</c:v>
                </c:pt>
                <c:pt idx="5">
                  <c:v>64.64871557810558</c:v>
                </c:pt>
                <c:pt idx="6">
                  <c:v>66.378363905350469</c:v>
                </c:pt>
                <c:pt idx="7">
                  <c:v>68.015480335408242</c:v>
                </c:pt>
                <c:pt idx="8">
                  <c:v>69.562899786780392</c:v>
                </c:pt>
                <c:pt idx="9">
                  <c:v>71.023452483520217</c:v>
                </c:pt>
                <c:pt idx="10">
                  <c:v>72.399966564918472</c:v>
                </c:pt>
                <c:pt idx="11">
                  <c:v>73.695267951936117</c:v>
                </c:pt>
                <c:pt idx="12">
                  <c:v>74.912178096255289</c:v>
                </c:pt>
                <c:pt idx="13">
                  <c:v>76.053510148896791</c:v>
                </c:pt>
                <c:pt idx="14">
                  <c:v>77.122064005913955</c:v>
                </c:pt>
                <c:pt idx="15">
                  <c:v>78.120620617403304</c:v>
                </c:pt>
                <c:pt idx="16">
                  <c:v>79.051935882097226</c:v>
                </c:pt>
                <c:pt idx="17">
                  <c:v>79.91873439251863</c:v>
                </c:pt>
                <c:pt idx="18">
                  <c:v>80.723703244644113</c:v>
                </c:pt>
                <c:pt idx="19">
                  <c:v>81.469486080880287</c:v>
                </c:pt>
                <c:pt idx="20">
                  <c:v>82.158677495581884</c:v>
                </c:pt>
                <c:pt idx="21">
                  <c:v>82.793817898003525</c:v>
                </c:pt>
                <c:pt idx="22">
                  <c:v>83.377388898142783</c:v>
                </c:pt>
                <c:pt idx="23">
                  <c:v>83.91180925603787</c:v>
                </c:pt>
                <c:pt idx="24">
                  <c:v>84.399431414356769</c:v>
                </c:pt>
              </c:numCache>
            </c:numRef>
          </c:yVal>
          <c:smooth val="1"/>
        </c:ser>
        <c:ser>
          <c:idx val="2"/>
          <c:order val="2"/>
          <c:tx>
            <c:v>Kinetic Energy</c:v>
          </c:tx>
          <c:xVal>
            <c:numRef>
              <c:f>'vmK model'!$C$23:$C$47</c:f>
              <c:numCache>
                <c:formatCode>General</c:formatCode>
                <c:ptCount val="25"/>
                <c:pt idx="0">
                  <c:v>400</c:v>
                </c:pt>
                <c:pt idx="1">
                  <c:v>425</c:v>
                </c:pt>
                <c:pt idx="2">
                  <c:v>450</c:v>
                </c:pt>
                <c:pt idx="3">
                  <c:v>475</c:v>
                </c:pt>
                <c:pt idx="4">
                  <c:v>500</c:v>
                </c:pt>
                <c:pt idx="5">
                  <c:v>525</c:v>
                </c:pt>
                <c:pt idx="6">
                  <c:v>550</c:v>
                </c:pt>
                <c:pt idx="7">
                  <c:v>575</c:v>
                </c:pt>
                <c:pt idx="8">
                  <c:v>600</c:v>
                </c:pt>
                <c:pt idx="9">
                  <c:v>625</c:v>
                </c:pt>
                <c:pt idx="10">
                  <c:v>650</c:v>
                </c:pt>
                <c:pt idx="11">
                  <c:v>675</c:v>
                </c:pt>
                <c:pt idx="12">
                  <c:v>700</c:v>
                </c:pt>
                <c:pt idx="13">
                  <c:v>725</c:v>
                </c:pt>
                <c:pt idx="14">
                  <c:v>750</c:v>
                </c:pt>
                <c:pt idx="15">
                  <c:v>775</c:v>
                </c:pt>
                <c:pt idx="16">
                  <c:v>800</c:v>
                </c:pt>
                <c:pt idx="17">
                  <c:v>825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975</c:v>
                </c:pt>
                <c:pt idx="24">
                  <c:v>1000</c:v>
                </c:pt>
              </c:numCache>
            </c:numRef>
          </c:xVal>
          <c:yVal>
            <c:numRef>
              <c:f>'vmK model'!$F$23:$F$47</c:f>
              <c:numCache>
                <c:formatCode>0</c:formatCode>
                <c:ptCount val="25"/>
                <c:pt idx="0">
                  <c:v>83.618971576099327</c:v>
                </c:pt>
                <c:pt idx="1">
                  <c:v>85.288050158437358</c:v>
                </c:pt>
                <c:pt idx="2">
                  <c:v>86.705805201140905</c:v>
                </c:pt>
                <c:pt idx="3">
                  <c:v>87.888295188093963</c:v>
                </c:pt>
                <c:pt idx="4">
                  <c:v>88.850721402276449</c:v>
                </c:pt>
                <c:pt idx="5">
                  <c:v>89.607545771270054</c:v>
                </c:pt>
                <c:pt idx="6">
                  <c:v>90.172577207488658</c:v>
                </c:pt>
                <c:pt idx="7">
                  <c:v>90.559033465260796</c:v>
                </c:pt>
                <c:pt idx="8">
                  <c:v>90.779584221748408</c:v>
                </c:pt>
                <c:pt idx="9">
                  <c:v>90.846380023925079</c:v>
                </c:pt>
                <c:pt idx="10">
                  <c:v>90.771070869563644</c:v>
                </c:pt>
                <c:pt idx="11">
                  <c:v>90.564817464181104</c:v>
                </c:pt>
                <c:pt idx="12">
                  <c:v>90.238297588171122</c:v>
                </c:pt>
                <c:pt idx="13">
                  <c:v>89.801709497351339</c:v>
                </c:pt>
                <c:pt idx="14">
                  <c:v>89.264773850036605</c:v>
                </c:pt>
                <c:pt idx="15">
                  <c:v>88.6367352925636</c:v>
                </c:pt>
                <c:pt idx="16">
                  <c:v>87.92636453357045</c:v>
                </c:pt>
                <c:pt idx="17">
                  <c:v>87.141961487622098</c:v>
                </c:pt>
                <c:pt idx="18">
                  <c:v>86.291359864468859</c:v>
                </c:pt>
                <c:pt idx="19">
                  <c:v>85.381933415605261</c:v>
                </c:pt>
                <c:pt idx="20">
                  <c:v>84.420603919706721</c:v>
                </c:pt>
                <c:pt idx="21">
                  <c:v>83.413850888248803</c:v>
                </c:pt>
                <c:pt idx="22">
                  <c:v>82.367722897829921</c:v>
                </c:pt>
                <c:pt idx="23">
                  <c:v>81.287850402450943</c:v>
                </c:pt>
                <c:pt idx="24">
                  <c:v>80.179459843638938</c:v>
                </c:pt>
              </c:numCache>
            </c:numRef>
          </c:yVal>
          <c:smooth val="1"/>
        </c:ser>
        <c:axId val="67656704"/>
        <c:axId val="67662592"/>
      </c:scatterChart>
      <c:valAx>
        <c:axId val="67653632"/>
        <c:scaling>
          <c:orientation val="minMax"/>
          <c:max val="1050"/>
          <c:min val="350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55168"/>
        <c:crosses val="autoZero"/>
        <c:crossBetween val="midCat"/>
        <c:majorUnit val="50"/>
        <c:minorUnit val="10"/>
      </c:valAx>
      <c:valAx>
        <c:axId val="67655168"/>
        <c:scaling>
          <c:orientation val="minMax"/>
          <c:min val="150"/>
        </c:scaling>
        <c:axPos val="l"/>
        <c:majorGridlines/>
        <c:numFmt formatCode="0" sourceLinked="1"/>
        <c:tickLblPos val="nextTo"/>
        <c:crossAx val="67653632"/>
        <c:crosses val="autoZero"/>
        <c:crossBetween val="midCat"/>
      </c:valAx>
      <c:valAx>
        <c:axId val="67656704"/>
        <c:scaling>
          <c:orientation val="minMax"/>
        </c:scaling>
        <c:delete val="1"/>
        <c:axPos val="b"/>
        <c:numFmt formatCode="General" sourceLinked="1"/>
        <c:tickLblPos val="nextTo"/>
        <c:crossAx val="67662592"/>
        <c:crosses val="autoZero"/>
        <c:crossBetween val="midCat"/>
      </c:valAx>
      <c:valAx>
        <c:axId val="67662592"/>
        <c:scaling>
          <c:orientation val="minMax"/>
          <c:min val="5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5670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70448282200019141"/>
          <c:y val="0.40000107678847835"/>
          <c:w val="0.25070057419293185"/>
          <c:h val="0.18461592300962376"/>
        </c:manualLayout>
      </c:layout>
    </c:legend>
    <c:plotVisOnly val="1"/>
    <c:dispBlanksAs val="gap"/>
  </c:chart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16</xdr:row>
      <xdr:rowOff>95250</xdr:rowOff>
    </xdr:from>
    <xdr:to>
      <xdr:col>14</xdr:col>
      <xdr:colOff>180975</xdr:colOff>
      <xdr:row>46</xdr:row>
      <xdr:rowOff>19050</xdr:rowOff>
    </xdr:to>
    <xdr:pic>
      <xdr:nvPicPr>
        <xdr:cNvPr id="1047" name="Picture 1" descr="L:\SosClub\BC\images\PI_examp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95850" y="2876550"/>
          <a:ext cx="5305425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16</xdr:row>
      <xdr:rowOff>142875</xdr:rowOff>
    </xdr:from>
    <xdr:to>
      <xdr:col>14</xdr:col>
      <xdr:colOff>257175</xdr:colOff>
      <xdr:row>46</xdr:row>
      <xdr:rowOff>66675</xdr:rowOff>
    </xdr:to>
    <xdr:pic>
      <xdr:nvPicPr>
        <xdr:cNvPr id="2070" name="Picture 1" descr="L:\SosClub\BC\images\PI_examp.b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4425" y="2924175"/>
          <a:ext cx="5305425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10</xdr:row>
      <xdr:rowOff>9525</xdr:rowOff>
    </xdr:from>
    <xdr:to>
      <xdr:col>18</xdr:col>
      <xdr:colOff>590550</xdr:colOff>
      <xdr:row>28</xdr:row>
      <xdr:rowOff>114300</xdr:rowOff>
    </xdr:to>
    <xdr:graphicFrame macro="">
      <xdr:nvGraphicFramePr>
        <xdr:cNvPr id="41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</xdr:row>
      <xdr:rowOff>28575</xdr:rowOff>
    </xdr:from>
    <xdr:to>
      <xdr:col>3</xdr:col>
      <xdr:colOff>771525</xdr:colOff>
      <xdr:row>22</xdr:row>
      <xdr:rowOff>19050</xdr:rowOff>
    </xdr:to>
    <xdr:sp macro="" textlink="">
      <xdr:nvSpPr>
        <xdr:cNvPr id="4114" name="Line 15"/>
        <xdr:cNvSpPr>
          <a:spLocks noChangeShapeType="1"/>
        </xdr:cNvSpPr>
      </xdr:nvSpPr>
      <xdr:spPr bwMode="auto">
        <a:xfrm flipH="1" flipV="1">
          <a:off x="1895475" y="981075"/>
          <a:ext cx="704850" cy="3305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23</xdr:row>
      <xdr:rowOff>38100</xdr:rowOff>
    </xdr:from>
    <xdr:to>
      <xdr:col>0</xdr:col>
      <xdr:colOff>561975</xdr:colOff>
      <xdr:row>33</xdr:row>
      <xdr:rowOff>114300</xdr:rowOff>
    </xdr:to>
    <xdr:sp macro="" textlink="">
      <xdr:nvSpPr>
        <xdr:cNvPr id="4115" name="Line 16"/>
        <xdr:cNvSpPr>
          <a:spLocks noChangeShapeType="1"/>
        </xdr:cNvSpPr>
      </xdr:nvSpPr>
      <xdr:spPr bwMode="auto">
        <a:xfrm flipH="1" flipV="1">
          <a:off x="161925" y="4495800"/>
          <a:ext cx="400050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12</xdr:row>
      <xdr:rowOff>104775</xdr:rowOff>
    </xdr:from>
    <xdr:to>
      <xdr:col>0</xdr:col>
      <xdr:colOff>590550</xdr:colOff>
      <xdr:row>23</xdr:row>
      <xdr:rowOff>38100</xdr:rowOff>
    </xdr:to>
    <xdr:sp macro="" textlink="">
      <xdr:nvSpPr>
        <xdr:cNvPr id="4116" name="Line 17"/>
        <xdr:cNvSpPr>
          <a:spLocks noChangeShapeType="1"/>
        </xdr:cNvSpPr>
      </xdr:nvSpPr>
      <xdr:spPr bwMode="auto">
        <a:xfrm flipV="1">
          <a:off x="161925" y="2409825"/>
          <a:ext cx="428625" cy="2085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21</xdr:row>
      <xdr:rowOff>19050</xdr:rowOff>
    </xdr:from>
    <xdr:to>
      <xdr:col>15</xdr:col>
      <xdr:colOff>561975</xdr:colOff>
      <xdr:row>44</xdr:row>
      <xdr:rowOff>9525</xdr:rowOff>
    </xdr:to>
    <xdr:graphicFrame macro="">
      <xdr:nvGraphicFramePr>
        <xdr:cNvPr id="6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ow%20docs/BowCal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c Mv"/>
      <sheetName val="Poncelet"/>
      <sheetName val="Chrony"/>
      <sheetName val="Sheet1"/>
    </sheetNames>
    <sheetDataSet>
      <sheetData sheetId="0">
        <row r="4">
          <cell r="G4">
            <v>350</v>
          </cell>
          <cell r="H4">
            <v>334.10700892115773</v>
          </cell>
          <cell r="I4">
            <v>86.775103708210949</v>
          </cell>
        </row>
        <row r="5">
          <cell r="G5">
            <v>375</v>
          </cell>
          <cell r="H5">
            <v>325.0302908505214</v>
          </cell>
          <cell r="I5">
            <v>87.990313474792231</v>
          </cell>
        </row>
        <row r="6">
          <cell r="G6">
            <v>400</v>
          </cell>
          <cell r="H6">
            <v>316.65529153971011</v>
          </cell>
          <cell r="I6">
            <v>89.081888468460193</v>
          </cell>
        </row>
        <row r="7">
          <cell r="G7">
            <v>425</v>
          </cell>
          <cell r="H7">
            <v>308.89601785959712</v>
          </cell>
          <cell r="I7">
            <v>90.06778315130714</v>
          </cell>
        </row>
        <row r="8">
          <cell r="G8">
            <v>450</v>
          </cell>
          <cell r="H8">
            <v>301.68054197087918</v>
          </cell>
          <cell r="I8">
            <v>90.962635997977799</v>
          </cell>
        </row>
        <row r="9">
          <cell r="G9">
            <v>475</v>
          </cell>
          <cell r="H9">
            <v>294.94817528340195</v>
          </cell>
          <cell r="I9">
            <v>91.778501241402324</v>
          </cell>
        </row>
        <row r="10">
          <cell r="G10">
            <v>500</v>
          </cell>
          <cell r="H10">
            <v>288.64730680163689</v>
          </cell>
          <cell r="I10">
            <v>92.525395038022253</v>
          </cell>
        </row>
        <row r="11">
          <cell r="G11">
            <v>525</v>
          </cell>
          <cell r="H11">
            <v>282.73372881861746</v>
          </cell>
          <cell r="I11">
            <v>93.211708735633778</v>
          </cell>
        </row>
        <row r="12">
          <cell r="G12">
            <v>550</v>
          </cell>
          <cell r="H12">
            <v>277.16932521297218</v>
          </cell>
          <cell r="I12">
            <v>93.844525500750464</v>
          </cell>
        </row>
        <row r="13">
          <cell r="G13">
            <v>575</v>
          </cell>
          <cell r="H13">
            <v>271.92103305307694</v>
          </cell>
          <cell r="I13">
            <v>94.429865681803534</v>
          </cell>
        </row>
        <row r="14">
          <cell r="G14">
            <v>600</v>
          </cell>
          <cell r="H14">
            <v>266.9600126609605</v>
          </cell>
          <cell r="I14">
            <v>94.972878944483199</v>
          </cell>
        </row>
        <row r="15">
          <cell r="G15">
            <v>625</v>
          </cell>
          <cell r="H15">
            <v>262.26097841765215</v>
          </cell>
          <cell r="I15">
            <v>95.477996180626178</v>
          </cell>
        </row>
        <row r="16">
          <cell r="G16">
            <v>650</v>
          </cell>
          <cell r="H16">
            <v>257.80165476711932</v>
          </cell>
          <cell r="I16">
            <v>95.949050685039609</v>
          </cell>
        </row>
        <row r="17">
          <cell r="G17">
            <v>675</v>
          </cell>
          <cell r="H17">
            <v>253.5623306462725</v>
          </cell>
          <cell r="I17">
            <v>96.38937561715862</v>
          </cell>
        </row>
        <row r="18">
          <cell r="G18">
            <v>700</v>
          </cell>
          <cell r="H18">
            <v>249.5254919642087</v>
          </cell>
          <cell r="I18">
            <v>96.801882991263014</v>
          </cell>
        </row>
        <row r="19">
          <cell r="G19">
            <v>725</v>
          </cell>
          <cell r="H19">
            <v>245.67551647135957</v>
          </cell>
          <cell r="I19">
            <v>97.189128154462537</v>
          </cell>
        </row>
        <row r="20">
          <cell r="G20">
            <v>750</v>
          </cell>
          <cell r="H20">
            <v>241.99841887594346</v>
          </cell>
          <cell r="I20">
            <v>97.553362770616644</v>
          </cell>
        </row>
        <row r="24">
          <cell r="G24">
            <v>350</v>
          </cell>
          <cell r="H24">
            <v>327.94981323367148</v>
          </cell>
          <cell r="I24">
            <v>83.606250000000003</v>
          </cell>
        </row>
        <row r="25">
          <cell r="G25">
            <v>375</v>
          </cell>
          <cell r="H25">
            <v>319.01216884465043</v>
          </cell>
          <cell r="I25">
            <v>84.762096774193552</v>
          </cell>
        </row>
        <row r="26">
          <cell r="G26">
            <v>400</v>
          </cell>
          <cell r="H26">
            <v>310.76756587520521</v>
          </cell>
          <cell r="I26">
            <v>85.800000000000011</v>
          </cell>
        </row>
        <row r="27">
          <cell r="G27">
            <v>425</v>
          </cell>
          <cell r="H27">
            <v>303.1308320828208</v>
          </cell>
          <cell r="I27">
            <v>86.737135922330097</v>
          </cell>
        </row>
        <row r="28">
          <cell r="G28">
            <v>450</v>
          </cell>
          <cell r="H28">
            <v>296.03076416705971</v>
          </cell>
          <cell r="I28">
            <v>87.587500000000006</v>
          </cell>
        </row>
        <row r="29">
          <cell r="G29">
            <v>475</v>
          </cell>
          <cell r="H29">
            <v>289.40731378860539</v>
          </cell>
          <cell r="I29">
            <v>88.362610619469038</v>
          </cell>
        </row>
        <row r="30">
          <cell r="G30">
            <v>500</v>
          </cell>
          <cell r="H30">
            <v>283.20943678618085</v>
          </cell>
          <cell r="I30">
            <v>89.072033898305094</v>
          </cell>
        </row>
        <row r="31">
          <cell r="G31">
            <v>525</v>
          </cell>
          <cell r="H31">
            <v>277.39342844837091</v>
          </cell>
          <cell r="I31">
            <v>89.723780487804888</v>
          </cell>
        </row>
        <row r="32">
          <cell r="G32">
            <v>550</v>
          </cell>
          <cell r="H32">
            <v>271.92162014080458</v>
          </cell>
          <cell r="I32">
            <v>90.324609375000037</v>
          </cell>
        </row>
        <row r="33">
          <cell r="G33">
            <v>575</v>
          </cell>
          <cell r="H33">
            <v>266.76134810370348</v>
          </cell>
          <cell r="I33">
            <v>90.880263157894731</v>
          </cell>
        </row>
        <row r="34">
          <cell r="G34">
            <v>600</v>
          </cell>
          <cell r="H34">
            <v>261.88412970492192</v>
          </cell>
          <cell r="I34">
            <v>91.395652173913064</v>
          </cell>
        </row>
        <row r="35">
          <cell r="G35">
            <v>625</v>
          </cell>
          <cell r="H35">
            <v>257.26499956270771</v>
          </cell>
          <cell r="I35">
            <v>91.875</v>
          </cell>
        </row>
        <row r="36">
          <cell r="G36">
            <v>650</v>
          </cell>
          <cell r="H36">
            <v>252.88197011809842</v>
          </cell>
          <cell r="I36">
            <v>92.321959459459478</v>
          </cell>
        </row>
        <row r="37">
          <cell r="G37">
            <v>675</v>
          </cell>
          <cell r="H37">
            <v>248.71558999363583</v>
          </cell>
          <cell r="I37">
            <v>92.739705882352951</v>
          </cell>
        </row>
        <row r="38">
          <cell r="G38">
            <v>700</v>
          </cell>
          <cell r="H38">
            <v>244.74857985649714</v>
          </cell>
          <cell r="I38">
            <v>93.13101265822786</v>
          </cell>
        </row>
        <row r="39">
          <cell r="G39">
            <v>725</v>
          </cell>
          <cell r="H39">
            <v>240.96553020809068</v>
          </cell>
          <cell r="I39">
            <v>93.498312883435574</v>
          </cell>
        </row>
        <row r="40">
          <cell r="G40">
            <v>750</v>
          </cell>
          <cell r="H40">
            <v>237.35264902671722</v>
          </cell>
          <cell r="I40">
            <v>93.84375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Q45"/>
  <sheetViews>
    <sheetView tabSelected="1" workbookViewId="0">
      <selection activeCell="C4" sqref="C4"/>
    </sheetView>
  </sheetViews>
  <sheetFormatPr defaultRowHeight="12.75"/>
  <cols>
    <col min="1" max="1" width="9.140625" style="1"/>
    <col min="2" max="2" width="17" style="1" customWidth="1"/>
    <col min="3" max="10" width="9.140625" style="1"/>
    <col min="11" max="11" width="7.5703125" style="1" customWidth="1"/>
    <col min="12" max="12" width="8.42578125" style="1" customWidth="1"/>
    <col min="13" max="13" width="25.85546875" style="1" customWidth="1"/>
    <col min="14" max="16384" width="9.140625" style="1"/>
  </cols>
  <sheetData>
    <row r="4" spans="2:16">
      <c r="B4" s="7" t="s">
        <v>0</v>
      </c>
      <c r="C4" s="9">
        <v>600</v>
      </c>
      <c r="D4" s="1" t="s">
        <v>8</v>
      </c>
      <c r="E4" s="1">
        <f>C4*0.065</f>
        <v>39</v>
      </c>
      <c r="F4" s="1" t="s">
        <v>35</v>
      </c>
      <c r="H4" s="7" t="s">
        <v>20</v>
      </c>
      <c r="I4" s="2">
        <f>C4*C5*C5/450240</f>
        <v>90.085287846481876</v>
      </c>
      <c r="J4" s="1" t="s">
        <v>22</v>
      </c>
    </row>
    <row r="5" spans="2:16">
      <c r="B5" s="7" t="s">
        <v>1</v>
      </c>
      <c r="C5" s="10">
        <v>260</v>
      </c>
      <c r="D5" s="2" t="s">
        <v>9</v>
      </c>
      <c r="E5" s="4">
        <f>C5*12*2.54/100</f>
        <v>79.248000000000005</v>
      </c>
      <c r="F5" s="1" t="s">
        <v>34</v>
      </c>
      <c r="H5" s="15" t="s">
        <v>21</v>
      </c>
      <c r="I5" s="3">
        <f>C4*C5/450240*2</f>
        <v>0.69296375266524524</v>
      </c>
      <c r="J5" s="6" t="s">
        <v>45</v>
      </c>
    </row>
    <row r="6" spans="2:16">
      <c r="C6" s="2"/>
      <c r="D6" s="2"/>
      <c r="E6" s="2"/>
      <c r="F6" s="2"/>
      <c r="G6" s="2"/>
    </row>
    <row r="7" spans="2:16" ht="13.5" thickBot="1">
      <c r="B7" s="1" t="s">
        <v>15</v>
      </c>
      <c r="C7" s="15" t="s">
        <v>2</v>
      </c>
      <c r="D7" s="16" t="s">
        <v>3</v>
      </c>
      <c r="E7" s="2"/>
    </row>
    <row r="8" spans="2:16">
      <c r="B8" s="6" t="s">
        <v>10</v>
      </c>
      <c r="C8" s="11">
        <v>0.35</v>
      </c>
      <c r="D8" s="11">
        <v>1.5</v>
      </c>
      <c r="E8" s="4">
        <f t="shared" ref="E8:E13" si="0">IF(D8&gt;0,C8^2/D8,"")</f>
        <v>8.1666666666666651E-2</v>
      </c>
      <c r="F8" s="2"/>
      <c r="G8" s="22" t="s">
        <v>30</v>
      </c>
      <c r="H8" s="23"/>
      <c r="I8" s="23"/>
      <c r="J8" s="23"/>
      <c r="K8" s="23"/>
      <c r="L8" s="23"/>
      <c r="M8" s="23"/>
      <c r="N8" s="28"/>
    </row>
    <row r="9" spans="2:16">
      <c r="C9" s="11">
        <v>0.35</v>
      </c>
      <c r="D9" s="11">
        <v>1.5</v>
      </c>
      <c r="E9" s="4">
        <f t="shared" si="0"/>
        <v>8.1666666666666651E-2</v>
      </c>
      <c r="F9" s="2"/>
      <c r="G9" s="25" t="s">
        <v>5</v>
      </c>
      <c r="H9" s="27" t="s">
        <v>29</v>
      </c>
      <c r="I9" s="29" t="s">
        <v>46</v>
      </c>
      <c r="J9" s="30" t="s">
        <v>43</v>
      </c>
      <c r="K9" s="30" t="s">
        <v>44</v>
      </c>
      <c r="L9" s="117" t="s">
        <v>218</v>
      </c>
      <c r="M9" s="31" t="s">
        <v>41</v>
      </c>
      <c r="N9" s="43" t="s">
        <v>219</v>
      </c>
    </row>
    <row r="10" spans="2:16" ht="15">
      <c r="C10" s="11">
        <v>0.3</v>
      </c>
      <c r="D10" s="11">
        <v>0.8</v>
      </c>
      <c r="E10" s="4">
        <f t="shared" si="0"/>
        <v>0.11249999999999999</v>
      </c>
      <c r="F10" s="2"/>
      <c r="G10" s="32" t="s">
        <v>47</v>
      </c>
      <c r="H10" s="27">
        <v>300</v>
      </c>
      <c r="I10" s="27">
        <v>245</v>
      </c>
      <c r="J10" s="33">
        <f t="shared" ref="J10:J15" si="1">H10*I10/450240*2</f>
        <v>0.32649253731343286</v>
      </c>
      <c r="K10" s="34">
        <f t="shared" ref="K10:K15" si="2">H10*I10^2/450240</f>
        <v>39.995335820895519</v>
      </c>
      <c r="L10" s="35">
        <f t="shared" ref="L10:L15" si="3">$C$5/$E$14*$I$19*($C$4/H10)^2*$I$23</f>
        <v>3535.1072961373397</v>
      </c>
      <c r="M10" s="36">
        <f t="shared" ref="M10:M15" si="4">IF($C$4&lt;0.8*H10,"too light",IF(L10&gt;I10,MIN(E24,E34),IF(L10&gt;(0.9*I10),ROUND(MIN(E24,E34),0) &amp; " - marginal","not recommended")))</f>
        <v>18.75</v>
      </c>
      <c r="N10" s="118">
        <f t="shared" ref="N10:N15" si="5">L10/I10</f>
        <v>14.429009371989142</v>
      </c>
      <c r="P10" s="3"/>
    </row>
    <row r="11" spans="2:16" ht="15">
      <c r="C11" s="11">
        <v>0.3</v>
      </c>
      <c r="D11" s="11">
        <v>0.8</v>
      </c>
      <c r="E11" s="4">
        <f t="shared" si="0"/>
        <v>0.11249999999999999</v>
      </c>
      <c r="F11" s="2"/>
      <c r="G11" s="32" t="s">
        <v>48</v>
      </c>
      <c r="H11" s="27">
        <v>400</v>
      </c>
      <c r="I11" s="27">
        <v>238</v>
      </c>
      <c r="J11" s="33">
        <f t="shared" si="1"/>
        <v>0.4228855721393035</v>
      </c>
      <c r="K11" s="34">
        <f t="shared" si="2"/>
        <v>50.323383084577117</v>
      </c>
      <c r="L11" s="35">
        <f t="shared" si="3"/>
        <v>1988.4978540772536</v>
      </c>
      <c r="M11" s="36">
        <f t="shared" si="4"/>
        <v>23.4375</v>
      </c>
      <c r="N11" s="118">
        <f t="shared" si="5"/>
        <v>8.3550330003245943</v>
      </c>
    </row>
    <row r="12" spans="2:16" ht="15">
      <c r="C12" s="11"/>
      <c r="D12" s="11"/>
      <c r="E12" s="4" t="str">
        <f t="shared" si="0"/>
        <v/>
      </c>
      <c r="F12" s="2"/>
      <c r="G12" s="32" t="s">
        <v>49</v>
      </c>
      <c r="H12" s="27">
        <v>500</v>
      </c>
      <c r="I12" s="27">
        <v>232</v>
      </c>
      <c r="J12" s="33">
        <f t="shared" si="1"/>
        <v>0.51528073916133621</v>
      </c>
      <c r="K12" s="34">
        <f t="shared" si="2"/>
        <v>59.772565742714995</v>
      </c>
      <c r="L12" s="35">
        <f t="shared" si="3"/>
        <v>1272.6386266094423</v>
      </c>
      <c r="M12" s="36">
        <f t="shared" si="4"/>
        <v>28.125000000000004</v>
      </c>
      <c r="N12" s="118">
        <f t="shared" si="5"/>
        <v>5.4855113215924236</v>
      </c>
    </row>
    <row r="13" spans="2:16" ht="15">
      <c r="C13" s="11"/>
      <c r="D13" s="11"/>
      <c r="E13" s="4" t="str">
        <f t="shared" si="0"/>
        <v/>
      </c>
      <c r="F13" s="2"/>
      <c r="G13" s="32" t="s">
        <v>50</v>
      </c>
      <c r="H13" s="27">
        <v>800</v>
      </c>
      <c r="I13" s="27">
        <v>212</v>
      </c>
      <c r="J13" s="33">
        <f t="shared" si="1"/>
        <v>0.75337597725657424</v>
      </c>
      <c r="K13" s="34">
        <f t="shared" si="2"/>
        <v>79.857853589196878</v>
      </c>
      <c r="L13" s="35">
        <f t="shared" si="3"/>
        <v>497.12446351931339</v>
      </c>
      <c r="M13" s="36" t="str">
        <f t="shared" si="4"/>
        <v>too light</v>
      </c>
      <c r="N13" s="118">
        <f t="shared" si="5"/>
        <v>2.3449267147137425</v>
      </c>
    </row>
    <row r="14" spans="2:16" ht="15">
      <c r="D14" s="7" t="s">
        <v>4</v>
      </c>
      <c r="E14" s="14">
        <f>SUM(E8:E13)</f>
        <v>0.38833333333333325</v>
      </c>
      <c r="G14" s="32" t="s">
        <v>51</v>
      </c>
      <c r="H14" s="27">
        <v>900</v>
      </c>
      <c r="I14" s="27">
        <v>218</v>
      </c>
      <c r="J14" s="33">
        <f t="shared" si="1"/>
        <v>0.87153518123667373</v>
      </c>
      <c r="K14" s="34">
        <f t="shared" si="2"/>
        <v>94.997334754797436</v>
      </c>
      <c r="L14" s="35">
        <f t="shared" si="3"/>
        <v>392.78969957081551</v>
      </c>
      <c r="M14" s="36" t="str">
        <f t="shared" si="4"/>
        <v>too light</v>
      </c>
      <c r="N14" s="118">
        <f t="shared" si="5"/>
        <v>1.8017876127101629</v>
      </c>
    </row>
    <row r="15" spans="2:16" ht="15.75" thickBot="1">
      <c r="B15" s="13" t="s">
        <v>53</v>
      </c>
      <c r="C15" s="4">
        <f>D8/(COUNTIF(C8:C13,"&gt;0")/2*(C8*2+0.3))</f>
        <v>0.75</v>
      </c>
      <c r="D15" s="13" t="s">
        <v>54</v>
      </c>
      <c r="E15" s="4">
        <f>(0.245/E14)^0.25</f>
        <v>0.89123114184584318</v>
      </c>
      <c r="G15" s="37" t="s">
        <v>52</v>
      </c>
      <c r="H15" s="24">
        <v>1000</v>
      </c>
      <c r="I15" s="24">
        <v>217</v>
      </c>
      <c r="J15" s="38">
        <f t="shared" si="1"/>
        <v>0.96393034825870649</v>
      </c>
      <c r="K15" s="39">
        <f t="shared" si="2"/>
        <v>104.58644278606965</v>
      </c>
      <c r="L15" s="40">
        <f t="shared" si="3"/>
        <v>318.15965665236058</v>
      </c>
      <c r="M15" s="41" t="str">
        <f t="shared" si="4"/>
        <v>too light</v>
      </c>
      <c r="N15" s="119">
        <f t="shared" si="5"/>
        <v>1.466173532960187</v>
      </c>
    </row>
    <row r="16" spans="2:16">
      <c r="C16" s="7" t="s">
        <v>61</v>
      </c>
      <c r="D16" s="121" t="s">
        <v>221</v>
      </c>
      <c r="G16" s="1" t="s">
        <v>55</v>
      </c>
    </row>
    <row r="17" spans="2:17">
      <c r="C17" s="7" t="s">
        <v>58</v>
      </c>
      <c r="D17" s="124" t="s">
        <v>224</v>
      </c>
      <c r="E17" s="1" t="s">
        <v>59</v>
      </c>
    </row>
    <row r="18" spans="2:17">
      <c r="H18" s="2"/>
      <c r="L18" s="120" t="s">
        <v>220</v>
      </c>
      <c r="M18" s="5">
        <v>0.9</v>
      </c>
    </row>
    <row r="19" spans="2:17">
      <c r="B19" s="1" t="s">
        <v>17</v>
      </c>
      <c r="H19" s="2"/>
      <c r="I19" s="9">
        <f>VLOOKUP(D16,L18:M20,2)</f>
        <v>1</v>
      </c>
      <c r="J19" s="27"/>
      <c r="K19" s="27"/>
      <c r="L19" s="120" t="s">
        <v>222</v>
      </c>
      <c r="M19" s="5">
        <v>0.6</v>
      </c>
      <c r="N19" s="27"/>
    </row>
    <row r="20" spans="2:17">
      <c r="B20" s="7" t="s">
        <v>12</v>
      </c>
      <c r="C20" s="9">
        <v>50</v>
      </c>
      <c r="D20" s="1" t="s">
        <v>13</v>
      </c>
      <c r="H20" s="2"/>
      <c r="I20" s="27"/>
      <c r="J20" s="46"/>
      <c r="K20" s="27"/>
      <c r="L20" s="120" t="s">
        <v>221</v>
      </c>
      <c r="M20" s="5">
        <v>1</v>
      </c>
      <c r="N20" s="27"/>
    </row>
    <row r="21" spans="2:17">
      <c r="B21" s="7" t="s">
        <v>23</v>
      </c>
      <c r="C21" s="9">
        <v>16</v>
      </c>
      <c r="D21" s="6" t="s">
        <v>7</v>
      </c>
      <c r="I21" s="27"/>
      <c r="J21" s="27"/>
      <c r="K21" s="27"/>
      <c r="L21" s="50"/>
      <c r="M21" s="27"/>
      <c r="N21" s="27"/>
    </row>
    <row r="22" spans="2:17" ht="15">
      <c r="B22" s="7" t="s">
        <v>11</v>
      </c>
      <c r="C22" s="17">
        <f>C21/3</f>
        <v>5.333333333333333</v>
      </c>
      <c r="D22" s="1" t="s">
        <v>7</v>
      </c>
      <c r="E22" s="18" t="s">
        <v>24</v>
      </c>
      <c r="F22" s="19">
        <f>C22/C20</f>
        <v>0.10666666666666666</v>
      </c>
      <c r="G22" s="18" t="s">
        <v>25</v>
      </c>
      <c r="I22" s="27"/>
      <c r="J22" s="49"/>
      <c r="K22" s="27"/>
      <c r="L22" s="27"/>
      <c r="M22" s="27"/>
      <c r="N22" s="27"/>
    </row>
    <row r="23" spans="2:17">
      <c r="C23" s="1" t="s">
        <v>5</v>
      </c>
      <c r="D23" s="7" t="s">
        <v>26</v>
      </c>
      <c r="E23" s="7" t="s">
        <v>14</v>
      </c>
      <c r="F23" s="1" t="s">
        <v>28</v>
      </c>
      <c r="I23" s="9">
        <f>VLOOKUP(D17,L23:M25,2)</f>
        <v>1.32</v>
      </c>
      <c r="J23" s="49"/>
      <c r="K23" s="27"/>
      <c r="L23" s="120" t="s">
        <v>225</v>
      </c>
      <c r="M23" s="47">
        <v>1.43</v>
      </c>
      <c r="N23" s="27"/>
    </row>
    <row r="24" spans="2:17">
      <c r="C24" s="5" t="s">
        <v>47</v>
      </c>
      <c r="D24" s="1">
        <v>4</v>
      </c>
      <c r="E24" s="2">
        <f t="shared" ref="E24:E29" si="6">D24/$F$22/$F$24</f>
        <v>18.75</v>
      </c>
      <c r="F24" s="9">
        <v>2</v>
      </c>
      <c r="G24" s="1" t="s">
        <v>27</v>
      </c>
      <c r="I24" s="27"/>
      <c r="J24" s="49"/>
      <c r="K24" s="27"/>
      <c r="L24" s="123" t="s">
        <v>224</v>
      </c>
      <c r="M24" s="47">
        <v>1.32</v>
      </c>
      <c r="N24" s="27"/>
    </row>
    <row r="25" spans="2:17">
      <c r="C25" s="5" t="s">
        <v>48</v>
      </c>
      <c r="D25" s="1">
        <v>5</v>
      </c>
      <c r="E25" s="2">
        <f t="shared" si="6"/>
        <v>23.4375</v>
      </c>
      <c r="I25" s="27"/>
      <c r="J25" s="49"/>
      <c r="L25" s="122" t="s">
        <v>223</v>
      </c>
      <c r="M25" s="47">
        <v>1</v>
      </c>
      <c r="N25" s="27"/>
    </row>
    <row r="26" spans="2:17">
      <c r="C26" s="5" t="s">
        <v>49</v>
      </c>
      <c r="D26" s="1">
        <v>6</v>
      </c>
      <c r="E26" s="2">
        <f t="shared" si="6"/>
        <v>28.125000000000004</v>
      </c>
      <c r="I26" s="48"/>
      <c r="J26" s="49"/>
      <c r="M26" s="47"/>
      <c r="N26" s="27"/>
    </row>
    <row r="27" spans="2:17">
      <c r="C27" s="5" t="s">
        <v>50</v>
      </c>
      <c r="D27" s="1">
        <v>6</v>
      </c>
      <c r="E27" s="2">
        <f t="shared" si="6"/>
        <v>28.125000000000004</v>
      </c>
      <c r="I27" s="27"/>
      <c r="J27" s="42"/>
      <c r="M27" s="47"/>
      <c r="N27" s="27"/>
      <c r="O27" s="3"/>
      <c r="Q27" s="3"/>
    </row>
    <row r="28" spans="2:17">
      <c r="C28" s="5" t="s">
        <v>51</v>
      </c>
      <c r="D28" s="1">
        <v>7</v>
      </c>
      <c r="E28" s="2">
        <f t="shared" si="6"/>
        <v>32.8125</v>
      </c>
      <c r="I28" s="27"/>
      <c r="J28" s="27"/>
      <c r="K28" s="27"/>
      <c r="L28" s="27"/>
      <c r="M28" s="27"/>
      <c r="N28" s="27"/>
      <c r="O28" s="3"/>
      <c r="P28" s="3"/>
      <c r="Q28" s="3"/>
    </row>
    <row r="29" spans="2:17">
      <c r="C29" s="5" t="s">
        <v>52</v>
      </c>
      <c r="D29" s="1">
        <v>8</v>
      </c>
      <c r="E29" s="2">
        <f t="shared" si="6"/>
        <v>37.5</v>
      </c>
      <c r="I29" s="27"/>
      <c r="J29" s="27"/>
      <c r="K29" s="27"/>
      <c r="L29" s="27"/>
      <c r="M29" s="49"/>
      <c r="N29" s="27"/>
      <c r="O29" s="3"/>
      <c r="P29" s="3"/>
      <c r="Q29" s="3"/>
    </row>
    <row r="30" spans="2:17">
      <c r="I30" s="27"/>
      <c r="J30" s="27"/>
      <c r="K30" s="27"/>
      <c r="L30" s="27"/>
      <c r="M30" s="27"/>
      <c r="N30" s="27"/>
      <c r="O30" s="3"/>
      <c r="P30" s="3"/>
      <c r="Q30" s="3"/>
    </row>
    <row r="31" spans="2:17">
      <c r="B31" s="1" t="s">
        <v>16</v>
      </c>
      <c r="I31" s="27"/>
      <c r="J31" s="27"/>
      <c r="K31" s="27"/>
      <c r="L31" s="27"/>
      <c r="M31" s="27"/>
      <c r="N31" s="27"/>
      <c r="O31" s="3"/>
      <c r="P31" s="3"/>
      <c r="Q31" s="3"/>
    </row>
    <row r="32" spans="2:17">
      <c r="C32" s="1" t="s">
        <v>5</v>
      </c>
      <c r="D32" s="1" t="s">
        <v>19</v>
      </c>
      <c r="E32" s="7" t="s">
        <v>18</v>
      </c>
      <c r="I32" s="27"/>
      <c r="J32" s="27"/>
      <c r="K32" s="27"/>
      <c r="L32" s="27"/>
      <c r="M32" s="27"/>
      <c r="N32" s="27"/>
      <c r="O32" s="3"/>
      <c r="P32" s="3"/>
      <c r="Q32" s="3"/>
    </row>
    <row r="33" spans="2:17">
      <c r="D33" s="1">
        <v>0.15</v>
      </c>
      <c r="E33" s="2">
        <f>D33*1083*$C$5/(1083-$C$5)/3</f>
        <v>17.106925880923452</v>
      </c>
      <c r="I33" s="27"/>
      <c r="J33" s="27"/>
      <c r="K33" s="27"/>
      <c r="L33" s="27"/>
      <c r="M33" s="27"/>
      <c r="N33" s="27"/>
      <c r="O33" s="3"/>
      <c r="P33" s="3"/>
      <c r="Q33" s="3"/>
    </row>
    <row r="34" spans="2:17">
      <c r="C34" s="5" t="s">
        <v>47</v>
      </c>
      <c r="D34" s="1">
        <v>0.2</v>
      </c>
      <c r="E34" s="2">
        <f>D34*1083*$C$5/(1083-$C$5)/3</f>
        <v>22.809234507897937</v>
      </c>
      <c r="I34" s="27"/>
      <c r="J34" s="27"/>
      <c r="K34" s="27"/>
      <c r="L34" s="27"/>
      <c r="M34" s="27"/>
      <c r="N34" s="27"/>
      <c r="O34" s="3"/>
      <c r="P34" s="3"/>
      <c r="Q34" s="3"/>
    </row>
    <row r="35" spans="2:17">
      <c r="C35" s="5" t="s">
        <v>48</v>
      </c>
      <c r="D35" s="1">
        <v>0.25</v>
      </c>
      <c r="E35" s="2">
        <f>D35*1083*$C$5/(1083-$C$5)/3</f>
        <v>28.511543134872415</v>
      </c>
      <c r="I35" s="27"/>
      <c r="J35" s="27"/>
      <c r="K35" s="27"/>
      <c r="L35" s="27"/>
      <c r="M35" s="27"/>
      <c r="N35" s="27"/>
      <c r="O35" s="3"/>
      <c r="P35" s="3"/>
      <c r="Q35" s="3"/>
    </row>
    <row r="36" spans="2:17">
      <c r="C36" s="5" t="s">
        <v>49</v>
      </c>
      <c r="D36" s="1">
        <v>0.3</v>
      </c>
      <c r="E36" s="2">
        <f>D36*1083*$C$5/(1083-$C$5)/3</f>
        <v>34.213851761846904</v>
      </c>
      <c r="I36" s="27"/>
      <c r="J36" s="27"/>
      <c r="K36" s="27"/>
      <c r="L36" s="27"/>
      <c r="M36" s="27"/>
      <c r="N36" s="27"/>
      <c r="P36" s="3"/>
      <c r="Q36" s="3"/>
    </row>
    <row r="37" spans="2:17">
      <c r="C37" s="5" t="s">
        <v>57</v>
      </c>
      <c r="D37" s="1">
        <v>0.4</v>
      </c>
      <c r="E37" s="2">
        <f>D37*1083*$C$5/(1083-$C$5)/3</f>
        <v>45.618469015795874</v>
      </c>
      <c r="I37" s="27"/>
      <c r="J37" s="27"/>
      <c r="K37" s="27"/>
      <c r="L37" s="27"/>
      <c r="M37" s="27"/>
      <c r="N37" s="27"/>
      <c r="P37" s="3"/>
      <c r="Q37" s="3"/>
    </row>
    <row r="38" spans="2:17">
      <c r="I38" s="27"/>
      <c r="J38" s="27"/>
      <c r="K38" s="27"/>
      <c r="L38" s="27"/>
      <c r="M38" s="27"/>
      <c r="N38" s="27"/>
      <c r="P38" s="3"/>
      <c r="Q38" s="3"/>
    </row>
    <row r="39" spans="2:17">
      <c r="H39" s="2"/>
      <c r="I39" s="2"/>
      <c r="J39" s="2"/>
      <c r="K39" s="2"/>
      <c r="L39" s="2"/>
      <c r="M39" s="27"/>
      <c r="N39" s="27"/>
    </row>
    <row r="40" spans="2:17" s="7" customFormat="1">
      <c r="B40" s="29"/>
      <c r="C40" s="29"/>
      <c r="D40" s="29"/>
      <c r="E40" s="29"/>
      <c r="F40" s="29"/>
      <c r="G40" s="29"/>
      <c r="H40" s="2"/>
      <c r="I40" s="2"/>
      <c r="J40" s="2"/>
      <c r="K40" s="2"/>
      <c r="L40" s="2"/>
      <c r="M40" s="51"/>
      <c r="N40" s="29"/>
    </row>
    <row r="41" spans="2:17">
      <c r="B41" s="27"/>
      <c r="C41" s="27"/>
      <c r="D41" s="27"/>
      <c r="E41" s="27"/>
      <c r="F41" s="27"/>
      <c r="H41" s="2"/>
      <c r="I41" s="2"/>
      <c r="J41" s="2"/>
      <c r="K41" s="2"/>
      <c r="L41" s="2"/>
    </row>
    <row r="42" spans="2:17">
      <c r="B42" s="27"/>
      <c r="C42" s="26"/>
      <c r="D42" s="27"/>
      <c r="G42" s="29"/>
      <c r="H42" s="2"/>
      <c r="I42" s="2"/>
      <c r="J42" s="2"/>
      <c r="K42" s="2"/>
      <c r="L42" s="2"/>
    </row>
    <row r="43" spans="2:17">
      <c r="H43" s="2"/>
      <c r="I43" s="2"/>
      <c r="J43" s="2"/>
      <c r="K43" s="2"/>
      <c r="L43" s="2"/>
    </row>
    <row r="44" spans="2:17">
      <c r="B44" s="1">
        <f>406/25.4</f>
        <v>15.984251968503937</v>
      </c>
      <c r="G44" s="29"/>
      <c r="H44" s="2"/>
      <c r="I44" s="2"/>
      <c r="J44" s="2"/>
      <c r="K44" s="2"/>
      <c r="L44" s="2"/>
    </row>
    <row r="45" spans="2:17">
      <c r="H45" s="2"/>
      <c r="I45" s="2"/>
      <c r="J45" s="2"/>
      <c r="K45" s="2"/>
      <c r="L45" s="2"/>
    </row>
  </sheetData>
  <sheetProtection sheet="1"/>
  <phoneticPr fontId="0" type="noConversion"/>
  <conditionalFormatting sqref="N10:N15">
    <cfRule type="colorScale" priority="1">
      <colorScale>
        <cfvo type="min" val="0"/>
        <cfvo type="num" val="1"/>
        <cfvo type="max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D16">
      <formula1>$L$18:$L$20</formula1>
    </dataValidation>
    <dataValidation type="list" allowBlank="1" showInputMessage="1" showErrorMessage="1" sqref="D17">
      <formula1>$L$23:$L$25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N37"/>
  <sheetViews>
    <sheetView workbookViewId="0">
      <selection activeCell="C4" sqref="C4"/>
    </sheetView>
  </sheetViews>
  <sheetFormatPr defaultRowHeight="12.75"/>
  <cols>
    <col min="1" max="1" width="9.140625" style="1"/>
    <col min="2" max="2" width="17.140625" style="1" customWidth="1"/>
    <col min="3" max="9" width="9.140625" style="1"/>
    <col min="10" max="10" width="10" style="1" customWidth="1"/>
    <col min="11" max="11" width="7.42578125" style="1" customWidth="1"/>
    <col min="12" max="12" width="8" style="1" customWidth="1"/>
    <col min="13" max="13" width="24.7109375" style="1" customWidth="1"/>
    <col min="14" max="16384" width="9.140625" style="1"/>
  </cols>
  <sheetData>
    <row r="4" spans="2:14">
      <c r="B4" s="7" t="s">
        <v>0</v>
      </c>
      <c r="C4" s="9">
        <v>39</v>
      </c>
      <c r="D4" s="1" t="s">
        <v>35</v>
      </c>
      <c r="E4" s="2">
        <f>C4/0.065</f>
        <v>600</v>
      </c>
      <c r="F4" s="1" t="s">
        <v>40</v>
      </c>
      <c r="H4" s="1" t="s">
        <v>20</v>
      </c>
      <c r="I4" s="2">
        <f>C4*C5*C5/2000</f>
        <v>122.62555499999999</v>
      </c>
      <c r="J4" s="1" t="s">
        <v>36</v>
      </c>
    </row>
    <row r="5" spans="2:14">
      <c r="B5" s="7" t="s">
        <v>1</v>
      </c>
      <c r="C5" s="12">
        <v>79.3</v>
      </c>
      <c r="D5" s="2" t="s">
        <v>34</v>
      </c>
      <c r="E5" s="1">
        <f>C5*100/2.54/12</f>
        <v>260.1706036745407</v>
      </c>
      <c r="F5" s="1" t="s">
        <v>9</v>
      </c>
      <c r="H5" s="2" t="s">
        <v>21</v>
      </c>
      <c r="I5" s="3">
        <f>C4*C5/1000</f>
        <v>3.0926999999999998</v>
      </c>
      <c r="J5" s="1" t="s">
        <v>37</v>
      </c>
    </row>
    <row r="6" spans="2:14">
      <c r="C6" s="2"/>
      <c r="D6" s="2"/>
      <c r="E6" s="2"/>
      <c r="F6" s="2"/>
      <c r="G6" s="2"/>
    </row>
    <row r="7" spans="2:14" ht="13.5" thickBot="1">
      <c r="B7" s="1" t="s">
        <v>15</v>
      </c>
      <c r="C7" s="2" t="s">
        <v>2</v>
      </c>
      <c r="D7" s="8" t="s">
        <v>3</v>
      </c>
      <c r="E7" s="2"/>
      <c r="F7" s="2"/>
    </row>
    <row r="8" spans="2:14">
      <c r="B8" s="6" t="s">
        <v>38</v>
      </c>
      <c r="C8" s="12">
        <v>8.89</v>
      </c>
      <c r="D8" s="12">
        <v>38.1</v>
      </c>
      <c r="E8" s="4">
        <f>IF(D8&gt;0,(C8/25.4)^2/(D8/25.4),"")</f>
        <v>8.1666666666666665E-2</v>
      </c>
      <c r="F8" s="2"/>
      <c r="G8" s="22" t="s">
        <v>30</v>
      </c>
      <c r="H8" s="23"/>
      <c r="I8" s="23"/>
      <c r="J8" s="23"/>
      <c r="K8" s="23"/>
      <c r="L8" s="23"/>
      <c r="M8" s="23"/>
      <c r="N8" s="28"/>
    </row>
    <row r="9" spans="2:14">
      <c r="C9" s="12">
        <v>8.89</v>
      </c>
      <c r="D9" s="12">
        <v>38.1</v>
      </c>
      <c r="E9" s="4">
        <f t="shared" ref="E9:E13" si="0">IF(D9&gt;0,(C9/25.4)^2/(D9/25.4),"")</f>
        <v>8.1666666666666665E-2</v>
      </c>
      <c r="F9" s="2"/>
      <c r="G9" s="25" t="s">
        <v>5</v>
      </c>
      <c r="H9" s="27" t="s">
        <v>29</v>
      </c>
      <c r="I9" s="29" t="s">
        <v>46</v>
      </c>
      <c r="J9" s="30" t="s">
        <v>43</v>
      </c>
      <c r="K9" s="30" t="s">
        <v>44</v>
      </c>
      <c r="L9" s="117" t="s">
        <v>218</v>
      </c>
      <c r="M9" s="31" t="s">
        <v>42</v>
      </c>
      <c r="N9" s="43" t="s">
        <v>219</v>
      </c>
    </row>
    <row r="10" spans="2:14" ht="15">
      <c r="C10" s="12">
        <v>7.62</v>
      </c>
      <c r="D10" s="12">
        <v>20.32</v>
      </c>
      <c r="E10" s="4">
        <f t="shared" si="0"/>
        <v>0.11250000000000003</v>
      </c>
      <c r="F10" s="2"/>
      <c r="G10" s="32" t="s">
        <v>47</v>
      </c>
      <c r="H10" s="27">
        <f>Imperial!H10*0.065</f>
        <v>19.5</v>
      </c>
      <c r="I10" s="49">
        <f>Imperial!I10*12*2.54/100</f>
        <v>74.676000000000002</v>
      </c>
      <c r="J10" s="33">
        <f>H10*75/1000</f>
        <v>1.4624999999999999</v>
      </c>
      <c r="K10" s="34">
        <f>H10*75^2/2000</f>
        <v>54.84375</v>
      </c>
      <c r="L10" s="35">
        <f t="shared" ref="L10:L15" si="1">$C$5/$E$14*VLOOKUP($D$16,$K$21:$L$23,2)*($C$4/H10)^2*VLOOKUP($D$17,$K$25:$L$27,2)</f>
        <v>1078.2077253218881</v>
      </c>
      <c r="M10" s="36">
        <f>IF($C$4&lt;0.8*H10,"too light",IF(L10&gt;I10,MIN(E24,E34),IF(L10&gt;(0.9*I10),ROUND(MIN(E24,E34),0) &amp; " - marginal","not recommended")))</f>
        <v>16.875</v>
      </c>
      <c r="N10" s="44">
        <f t="shared" ref="N10:N15" si="2">L10/I10</f>
        <v>14.438477225907763</v>
      </c>
    </row>
    <row r="11" spans="2:14" ht="15">
      <c r="C11" s="12">
        <v>7.62</v>
      </c>
      <c r="D11" s="12">
        <v>20.32</v>
      </c>
      <c r="E11" s="4">
        <f t="shared" si="0"/>
        <v>0.11250000000000003</v>
      </c>
      <c r="F11" s="2"/>
      <c r="G11" s="32" t="s">
        <v>48</v>
      </c>
      <c r="H11" s="27">
        <f>Imperial!H11*0.065</f>
        <v>26</v>
      </c>
      <c r="I11" s="49">
        <f>Imperial!I11*12*2.54/100</f>
        <v>72.542400000000001</v>
      </c>
      <c r="J11" s="33">
        <f>H11*75/1000</f>
        <v>1.95</v>
      </c>
      <c r="K11" s="34">
        <f>H11*75^2/2000</f>
        <v>73.125</v>
      </c>
      <c r="L11" s="35">
        <f t="shared" si="1"/>
        <v>606.4918454935621</v>
      </c>
      <c r="M11" s="36">
        <f t="shared" ref="M11:M15" si="3">IF($C$4&lt;0.8*H11,"too light",IF(L11&gt;I11,MIN(E25,E35),IF(L11&gt;(0.9*I11),ROUND(MIN(E25,E35),0) &amp; " - marginal","not recommended")))</f>
        <v>21.093749999999996</v>
      </c>
      <c r="N11" s="44">
        <f t="shared" si="2"/>
        <v>8.3605153054429149</v>
      </c>
    </row>
    <row r="12" spans="2:14" ht="15">
      <c r="C12" s="12"/>
      <c r="D12" s="12"/>
      <c r="E12" s="4" t="str">
        <f t="shared" si="0"/>
        <v/>
      </c>
      <c r="F12" s="2"/>
      <c r="G12" s="32" t="s">
        <v>49</v>
      </c>
      <c r="H12" s="27">
        <f>Imperial!H12*0.065</f>
        <v>32.5</v>
      </c>
      <c r="I12" s="49">
        <f>Imperial!I12*12*2.54/100</f>
        <v>70.7136</v>
      </c>
      <c r="J12" s="33">
        <f>H12*75/1000</f>
        <v>2.4375</v>
      </c>
      <c r="K12" s="34">
        <f>H12*75^2/2000</f>
        <v>91.40625</v>
      </c>
      <c r="L12" s="35">
        <f t="shared" si="1"/>
        <v>388.1547811158797</v>
      </c>
      <c r="M12" s="36">
        <f t="shared" si="3"/>
        <v>25.312499999999996</v>
      </c>
      <c r="N12" s="44">
        <f t="shared" si="2"/>
        <v>5.4891107384701066</v>
      </c>
    </row>
    <row r="13" spans="2:14" ht="15">
      <c r="C13" s="12"/>
      <c r="D13" s="12"/>
      <c r="E13" s="4" t="str">
        <f t="shared" si="0"/>
        <v/>
      </c>
      <c r="F13" s="2"/>
      <c r="G13" s="32" t="s">
        <v>50</v>
      </c>
      <c r="H13" s="27">
        <f>Imperial!H13*0.065</f>
        <v>52</v>
      </c>
      <c r="I13" s="49">
        <f>Imperial!I13*12*2.54/100</f>
        <v>64.617599999999996</v>
      </c>
      <c r="J13" s="33">
        <f>H13*75/1000</f>
        <v>3.9</v>
      </c>
      <c r="K13" s="34">
        <f>H13*75^2/2000</f>
        <v>146.25</v>
      </c>
      <c r="L13" s="35">
        <f t="shared" si="1"/>
        <v>151.62296137339052</v>
      </c>
      <c r="M13" s="36" t="str">
        <f t="shared" si="3"/>
        <v>too light</v>
      </c>
      <c r="N13" s="44">
        <f t="shared" si="2"/>
        <v>2.3464653805370448</v>
      </c>
    </row>
    <row r="14" spans="2:14" ht="15">
      <c r="D14" s="7" t="s">
        <v>4</v>
      </c>
      <c r="E14" s="4">
        <f>SUM(E8:E13)</f>
        <v>0.38833333333333342</v>
      </c>
      <c r="G14" s="32" t="s">
        <v>51</v>
      </c>
      <c r="H14" s="27">
        <f>Imperial!H14*0.065</f>
        <v>58.5</v>
      </c>
      <c r="I14" s="49">
        <f>Imperial!I14*12*2.54/100</f>
        <v>66.446399999999997</v>
      </c>
      <c r="J14" s="33">
        <f>H14*72/1000</f>
        <v>4.2119999999999997</v>
      </c>
      <c r="K14" s="34">
        <f>H14*72^2/2000</f>
        <v>151.63200000000001</v>
      </c>
      <c r="L14" s="35">
        <f t="shared" si="1"/>
        <v>119.80085836909868</v>
      </c>
      <c r="M14" s="36" t="str">
        <f t="shared" si="3"/>
        <v>too light</v>
      </c>
      <c r="N14" s="44">
        <f t="shared" si="2"/>
        <v>1.8029698880465861</v>
      </c>
    </row>
    <row r="15" spans="2:14" ht="15.75" thickBot="1">
      <c r="B15" s="13" t="s">
        <v>53</v>
      </c>
      <c r="C15" s="4">
        <f>D8/25.4/((C8*2/25.4+0.3)/2*COUNTIF(C8:C13,"&gt;0"))</f>
        <v>0.75000000000000011</v>
      </c>
      <c r="D15" s="13" t="s">
        <v>54</v>
      </c>
      <c r="E15" s="14">
        <f>(0.245/E14)^0.25</f>
        <v>0.89123114184584318</v>
      </c>
      <c r="G15" s="37" t="s">
        <v>52</v>
      </c>
      <c r="H15" s="24">
        <f>Imperial!H15*0.065</f>
        <v>65</v>
      </c>
      <c r="I15" s="52">
        <f>Imperial!I15*12*2.54/100</f>
        <v>66.141599999999997</v>
      </c>
      <c r="J15" s="38">
        <f>H15*67/1000</f>
        <v>4.3550000000000004</v>
      </c>
      <c r="K15" s="39">
        <f>H15*67^2/2000</f>
        <v>145.89250000000001</v>
      </c>
      <c r="L15" s="40">
        <f t="shared" si="1"/>
        <v>97.038695278969925</v>
      </c>
      <c r="M15" s="41" t="str">
        <f t="shared" si="3"/>
        <v>too light</v>
      </c>
      <c r="N15" s="45">
        <f t="shared" si="2"/>
        <v>1.467135589084176</v>
      </c>
    </row>
    <row r="16" spans="2:14">
      <c r="C16" s="7" t="s">
        <v>6</v>
      </c>
      <c r="D16" s="9" t="s">
        <v>221</v>
      </c>
      <c r="E16" s="1" t="s">
        <v>60</v>
      </c>
      <c r="G16" s="1" t="s">
        <v>56</v>
      </c>
    </row>
    <row r="17" spans="2:12">
      <c r="C17" s="7" t="s">
        <v>58</v>
      </c>
      <c r="D17" s="9" t="s">
        <v>228</v>
      </c>
      <c r="E17" s="1" t="s">
        <v>59</v>
      </c>
    </row>
    <row r="18" spans="2:12">
      <c r="H18" s="2"/>
    </row>
    <row r="19" spans="2:12">
      <c r="B19" s="1" t="s">
        <v>17</v>
      </c>
      <c r="H19" s="2"/>
    </row>
    <row r="20" spans="2:12">
      <c r="B20" s="7" t="s">
        <v>12</v>
      </c>
      <c r="C20" s="9">
        <f>50*36*2.54/100</f>
        <v>45.72</v>
      </c>
      <c r="D20" s="1" t="s">
        <v>31</v>
      </c>
      <c r="H20" s="2"/>
      <c r="J20" s="3"/>
    </row>
    <row r="21" spans="2:12">
      <c r="B21" s="7" t="s">
        <v>23</v>
      </c>
      <c r="C21" s="9">
        <f>16*25.4</f>
        <v>406.4</v>
      </c>
      <c r="D21" s="6" t="s">
        <v>32</v>
      </c>
      <c r="K21" s="120" t="s">
        <v>226</v>
      </c>
      <c r="L21" s="1">
        <v>0.9</v>
      </c>
    </row>
    <row r="22" spans="2:12" ht="15">
      <c r="B22" s="7" t="s">
        <v>11</v>
      </c>
      <c r="C22" s="17">
        <f>C21/3</f>
        <v>135.46666666666667</v>
      </c>
      <c r="D22" s="1" t="s">
        <v>32</v>
      </c>
      <c r="E22" s="20" t="s">
        <v>24</v>
      </c>
      <c r="F22" s="21">
        <f>C22/C20</f>
        <v>2.9629629629629632</v>
      </c>
      <c r="G22" s="20" t="s">
        <v>33</v>
      </c>
      <c r="J22" s="2"/>
      <c r="K22" s="120" t="s">
        <v>222</v>
      </c>
      <c r="L22" s="1">
        <v>0.6</v>
      </c>
    </row>
    <row r="23" spans="2:12">
      <c r="C23" s="1" t="s">
        <v>5</v>
      </c>
      <c r="D23" s="7" t="s">
        <v>26</v>
      </c>
      <c r="E23" s="7" t="s">
        <v>39</v>
      </c>
      <c r="F23" s="1" t="s">
        <v>28</v>
      </c>
      <c r="J23" s="2"/>
      <c r="K23" s="120" t="s">
        <v>221</v>
      </c>
      <c r="L23" s="1">
        <v>1</v>
      </c>
    </row>
    <row r="24" spans="2:12">
      <c r="C24" s="5" t="s">
        <v>47</v>
      </c>
      <c r="D24" s="1">
        <v>100</v>
      </c>
      <c r="E24" s="2">
        <f t="shared" ref="E24:E29" si="4">D24/$F$22/$F$24</f>
        <v>16.875</v>
      </c>
      <c r="F24" s="9">
        <v>2</v>
      </c>
      <c r="G24" s="1" t="s">
        <v>27</v>
      </c>
      <c r="J24" s="2"/>
    </row>
    <row r="25" spans="2:12">
      <c r="C25" s="5" t="s">
        <v>48</v>
      </c>
      <c r="D25" s="1">
        <v>125</v>
      </c>
      <c r="E25" s="2">
        <f t="shared" si="4"/>
        <v>21.093749999999996</v>
      </c>
      <c r="J25" s="2"/>
      <c r="K25" s="120" t="s">
        <v>227</v>
      </c>
      <c r="L25" s="1">
        <v>1</v>
      </c>
    </row>
    <row r="26" spans="2:12">
      <c r="C26" s="5" t="s">
        <v>49</v>
      </c>
      <c r="D26" s="1">
        <v>150</v>
      </c>
      <c r="E26" s="2">
        <f t="shared" si="4"/>
        <v>25.312499999999996</v>
      </c>
      <c r="J26" s="2"/>
      <c r="K26" s="120" t="s">
        <v>228</v>
      </c>
      <c r="L26" s="1">
        <v>1.32</v>
      </c>
    </row>
    <row r="27" spans="2:12">
      <c r="C27" s="5" t="s">
        <v>50</v>
      </c>
      <c r="D27" s="1">
        <v>150</v>
      </c>
      <c r="E27" s="2">
        <f t="shared" si="4"/>
        <v>25.312499999999996</v>
      </c>
      <c r="K27" s="120" t="s">
        <v>229</v>
      </c>
      <c r="L27" s="1">
        <v>1.43</v>
      </c>
    </row>
    <row r="28" spans="2:12">
      <c r="C28" s="5" t="s">
        <v>51</v>
      </c>
      <c r="D28" s="1">
        <v>175</v>
      </c>
      <c r="E28" s="2">
        <f t="shared" si="4"/>
        <v>29.531249999999996</v>
      </c>
    </row>
    <row r="29" spans="2:12">
      <c r="C29" s="5" t="s">
        <v>52</v>
      </c>
      <c r="D29" s="1">
        <v>200</v>
      </c>
      <c r="E29" s="2">
        <f t="shared" si="4"/>
        <v>33.75</v>
      </c>
    </row>
    <row r="31" spans="2:12">
      <c r="B31" s="1" t="s">
        <v>16</v>
      </c>
    </row>
    <row r="32" spans="2:12">
      <c r="C32" s="1" t="s">
        <v>5</v>
      </c>
      <c r="D32" s="1" t="s">
        <v>19</v>
      </c>
      <c r="E32" s="7" t="s">
        <v>39</v>
      </c>
    </row>
    <row r="33" spans="3:5">
      <c r="D33" s="1">
        <v>0.15</v>
      </c>
      <c r="E33" s="2">
        <f>D33*330*$C$5/(330-$C$5)</f>
        <v>15.657558835261268</v>
      </c>
    </row>
    <row r="34" spans="3:5">
      <c r="C34" s="5" t="s">
        <v>47</v>
      </c>
      <c r="D34" s="1">
        <v>0.2</v>
      </c>
      <c r="E34" s="2">
        <f>D34*330*$C$5/(330-$C$5)</f>
        <v>20.876745113681693</v>
      </c>
    </row>
    <row r="35" spans="3:5">
      <c r="C35" s="5" t="s">
        <v>48</v>
      </c>
      <c r="D35" s="1">
        <v>0.25</v>
      </c>
      <c r="E35" s="2">
        <f>D35*330*$C$5/(330-$C$5)</f>
        <v>26.095931392102116</v>
      </c>
    </row>
    <row r="36" spans="3:5">
      <c r="C36" s="5" t="s">
        <v>49</v>
      </c>
      <c r="D36" s="1">
        <v>0.3</v>
      </c>
      <c r="E36" s="2">
        <f>D36*330*$C$5/(330-$C$5)</f>
        <v>31.315117670522536</v>
      </c>
    </row>
    <row r="37" spans="3:5">
      <c r="C37" s="5" t="s">
        <v>57</v>
      </c>
      <c r="D37" s="1">
        <v>0.4</v>
      </c>
      <c r="E37" s="2">
        <f>D37*330*$C$5/(330-$C$5)</f>
        <v>41.753490227363386</v>
      </c>
    </row>
  </sheetData>
  <phoneticPr fontId="0" type="noConversion"/>
  <conditionalFormatting sqref="N10:N15">
    <cfRule type="colorScale" priority="1">
      <colorScale>
        <cfvo type="min" val="0"/>
        <cfvo type="num" val="1"/>
        <cfvo type="max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D16">
      <formula1>$K$21:$K$23</formula1>
    </dataValidation>
    <dataValidation type="list" allowBlank="1" showInputMessage="1" showErrorMessage="1" sqref="D17">
      <formula1>$K$25:$K$27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AH45"/>
  <sheetViews>
    <sheetView workbookViewId="0">
      <selection activeCell="D6" sqref="D6"/>
    </sheetView>
  </sheetViews>
  <sheetFormatPr defaultRowHeight="12.75"/>
  <cols>
    <col min="1" max="9" width="9.140625" style="1"/>
    <col min="10" max="13" width="0" style="1" hidden="1" customWidth="1"/>
    <col min="14" max="14" width="9.140625" style="1"/>
    <col min="15" max="15" width="14.140625" style="1" customWidth="1"/>
    <col min="16" max="16" width="11.140625" style="1" customWidth="1"/>
    <col min="17" max="17" width="12.42578125" style="1" bestFit="1" customWidth="1"/>
    <col min="18" max="21" width="9.140625" style="1"/>
    <col min="22" max="22" width="12.85546875" style="1" customWidth="1"/>
    <col min="23" max="23" width="12.42578125" style="1" bestFit="1" customWidth="1"/>
    <col min="24" max="26" width="9.140625" style="1"/>
    <col min="27" max="27" width="11.42578125" style="1" bestFit="1" customWidth="1"/>
    <col min="28" max="16384" width="9.140625" style="1"/>
  </cols>
  <sheetData>
    <row r="3" spans="2:31" ht="21" thickBot="1">
      <c r="B3" s="53" t="s">
        <v>107</v>
      </c>
      <c r="O3" s="53" t="s">
        <v>110</v>
      </c>
      <c r="V3" s="69" t="s">
        <v>128</v>
      </c>
    </row>
    <row r="4" spans="2:31">
      <c r="B4" s="22"/>
      <c r="C4" s="23"/>
      <c r="D4" s="23"/>
      <c r="E4" s="23"/>
      <c r="F4" s="23"/>
      <c r="G4" s="23"/>
      <c r="H4" s="23"/>
      <c r="I4" s="28"/>
      <c r="O4" s="22"/>
      <c r="P4" s="23"/>
      <c r="Q4" s="23"/>
      <c r="R4" s="23"/>
      <c r="S4" s="64">
        <f t="shared" ref="S4:S12" si="0">P10*Q10</f>
        <v>4786.375</v>
      </c>
      <c r="V4" s="22"/>
      <c r="W4" s="23"/>
      <c r="X4" s="23"/>
      <c r="Y4" s="23"/>
      <c r="Z4" s="23"/>
      <c r="AA4" s="23"/>
      <c r="AB4" s="23"/>
      <c r="AC4" s="23"/>
      <c r="AD4" s="23"/>
      <c r="AE4" s="28"/>
    </row>
    <row r="5" spans="2:31">
      <c r="B5" s="25"/>
      <c r="C5" s="27"/>
      <c r="D5" s="27"/>
      <c r="E5" s="27"/>
      <c r="F5" s="27"/>
      <c r="G5" s="27"/>
      <c r="H5" s="27"/>
      <c r="I5" s="57" t="s">
        <v>62</v>
      </c>
      <c r="J5" s="1">
        <f>D20/2</f>
        <v>14.5</v>
      </c>
      <c r="O5" s="25"/>
      <c r="P5" s="27"/>
      <c r="Q5" s="27"/>
      <c r="R5" s="27"/>
      <c r="S5" s="65">
        <f t="shared" si="0"/>
        <v>1534.8431249999999</v>
      </c>
      <c r="V5" s="67"/>
      <c r="W5" s="27"/>
      <c r="X5" s="27"/>
      <c r="Y5" s="27"/>
      <c r="Z5" s="27"/>
      <c r="AA5" s="27"/>
      <c r="AB5" s="27"/>
      <c r="AC5" s="27"/>
      <c r="AD5" s="27"/>
      <c r="AE5" s="58"/>
    </row>
    <row r="6" spans="2:31">
      <c r="B6" s="25" t="s">
        <v>63</v>
      </c>
      <c r="C6" s="27"/>
      <c r="D6" s="54">
        <v>125</v>
      </c>
      <c r="E6" s="27" t="s">
        <v>40</v>
      </c>
      <c r="F6" s="27"/>
      <c r="G6" s="27"/>
      <c r="H6" s="27"/>
      <c r="I6" s="57" t="s">
        <v>64</v>
      </c>
      <c r="J6" s="1">
        <f>D9+D13+D17</f>
        <v>14.4</v>
      </c>
      <c r="K6" s="1" t="s">
        <v>65</v>
      </c>
      <c r="O6" s="25"/>
      <c r="P6" s="27" t="s">
        <v>106</v>
      </c>
      <c r="Q6" s="54">
        <v>72</v>
      </c>
      <c r="R6" s="27" t="s">
        <v>80</v>
      </c>
      <c r="S6" s="65">
        <f t="shared" si="0"/>
        <v>3656.25</v>
      </c>
      <c r="V6" s="68" t="s">
        <v>3</v>
      </c>
      <c r="W6" s="75">
        <v>27</v>
      </c>
      <c r="X6" s="26" t="s">
        <v>112</v>
      </c>
      <c r="Y6" s="48" t="s">
        <v>94</v>
      </c>
      <c r="Z6" s="75">
        <v>6</v>
      </c>
      <c r="AA6" s="26" t="s">
        <v>32</v>
      </c>
      <c r="AB6" s="27"/>
      <c r="AC6" s="27"/>
      <c r="AD6" s="27"/>
      <c r="AE6" s="58"/>
    </row>
    <row r="7" spans="2:31">
      <c r="B7" s="25" t="s">
        <v>108</v>
      </c>
      <c r="C7" s="27"/>
      <c r="D7" s="54">
        <v>200</v>
      </c>
      <c r="E7" s="27" t="s">
        <v>40</v>
      </c>
      <c r="F7" s="27">
        <f>D6+D7</f>
        <v>325</v>
      </c>
      <c r="G7" s="27" t="s">
        <v>40</v>
      </c>
      <c r="H7" s="27"/>
      <c r="I7" s="57" t="s">
        <v>66</v>
      </c>
      <c r="J7" s="1">
        <f>D20*J6</f>
        <v>417.6</v>
      </c>
      <c r="O7" s="25"/>
      <c r="P7" s="27" t="s">
        <v>74</v>
      </c>
      <c r="Q7" s="54">
        <v>280</v>
      </c>
      <c r="R7" s="27"/>
      <c r="S7" s="65">
        <f t="shared" si="0"/>
        <v>435</v>
      </c>
      <c r="V7" s="68" t="s">
        <v>74</v>
      </c>
      <c r="W7" s="75">
        <v>350</v>
      </c>
      <c r="X7" s="27"/>
      <c r="Y7" s="27"/>
      <c r="Z7" s="27"/>
      <c r="AA7" s="27"/>
      <c r="AB7" s="27"/>
      <c r="AC7" s="27"/>
      <c r="AD7" s="27"/>
      <c r="AE7" s="58"/>
    </row>
    <row r="8" spans="2:31">
      <c r="B8" s="25"/>
      <c r="C8" s="27"/>
      <c r="D8" s="27"/>
      <c r="E8" s="27"/>
      <c r="F8" s="27"/>
      <c r="G8" s="27"/>
      <c r="H8" s="27"/>
      <c r="I8" s="57" t="s">
        <v>67</v>
      </c>
      <c r="J8" s="1">
        <f>D23+D25</f>
        <v>50</v>
      </c>
      <c r="O8" s="25"/>
      <c r="P8" s="27" t="s">
        <v>3</v>
      </c>
      <c r="Q8" s="54">
        <v>29</v>
      </c>
      <c r="R8" s="27" t="s">
        <v>112</v>
      </c>
      <c r="S8" s="65">
        <f t="shared" si="0"/>
        <v>0</v>
      </c>
      <c r="V8" s="68" t="s">
        <v>79</v>
      </c>
      <c r="W8" s="75">
        <v>66</v>
      </c>
      <c r="X8" s="26" t="s">
        <v>80</v>
      </c>
      <c r="Y8" s="27"/>
      <c r="Z8" s="27"/>
      <c r="AA8" s="27"/>
      <c r="AB8" s="27"/>
      <c r="AC8" s="27"/>
      <c r="AD8" s="27"/>
      <c r="AE8" s="58"/>
    </row>
    <row r="9" spans="2:31">
      <c r="B9" s="25" t="s">
        <v>68</v>
      </c>
      <c r="C9" s="27"/>
      <c r="D9" s="54">
        <v>0</v>
      </c>
      <c r="E9" s="27" t="s">
        <v>65</v>
      </c>
      <c r="F9" s="27">
        <f>(D20-2)*D9</f>
        <v>0</v>
      </c>
      <c r="G9" s="27" t="s">
        <v>40</v>
      </c>
      <c r="H9" s="27"/>
      <c r="I9" s="57" t="s">
        <v>69</v>
      </c>
      <c r="J9" s="1">
        <f>D6+D7+D24</f>
        <v>340</v>
      </c>
      <c r="O9" s="25" t="s">
        <v>100</v>
      </c>
      <c r="P9" s="27" t="s">
        <v>75</v>
      </c>
      <c r="Q9" s="27" t="s">
        <v>116</v>
      </c>
      <c r="R9" s="27"/>
      <c r="S9" s="65">
        <f t="shared" si="0"/>
        <v>120</v>
      </c>
      <c r="V9" s="25"/>
      <c r="W9" s="29" t="s">
        <v>40</v>
      </c>
      <c r="X9" s="29" t="s">
        <v>65</v>
      </c>
      <c r="Y9" s="29" t="s">
        <v>118</v>
      </c>
      <c r="Z9" s="29" t="s">
        <v>119</v>
      </c>
      <c r="AA9" s="29" t="s">
        <v>120</v>
      </c>
      <c r="AB9" s="29" t="s">
        <v>121</v>
      </c>
      <c r="AC9" s="29" t="s">
        <v>122</v>
      </c>
      <c r="AD9" s="29" t="s">
        <v>125</v>
      </c>
      <c r="AE9" s="58"/>
    </row>
    <row r="10" spans="2:31">
      <c r="B10" s="25"/>
      <c r="C10" s="27"/>
      <c r="D10" s="27"/>
      <c r="E10" s="27"/>
      <c r="F10" s="27"/>
      <c r="G10" s="27"/>
      <c r="H10" s="27"/>
      <c r="I10" s="57" t="s">
        <v>70</v>
      </c>
      <c r="J10" s="1">
        <f>J6*D20^2</f>
        <v>12110.4</v>
      </c>
      <c r="O10" s="66" t="s">
        <v>101</v>
      </c>
      <c r="P10" s="56">
        <f>11*29.5</f>
        <v>324.5</v>
      </c>
      <c r="Q10" s="54">
        <f>29.5/2</f>
        <v>14.75</v>
      </c>
      <c r="R10" s="27" t="s">
        <v>114</v>
      </c>
      <c r="S10" s="65">
        <f t="shared" si="0"/>
        <v>3842.5</v>
      </c>
      <c r="V10" s="25" t="s">
        <v>123</v>
      </c>
      <c r="W10" s="27"/>
      <c r="X10" s="75">
        <v>11.8</v>
      </c>
      <c r="Y10" s="27">
        <v>0.5</v>
      </c>
      <c r="Z10" s="27">
        <f>Y11</f>
        <v>26</v>
      </c>
      <c r="AA10" s="27">
        <f>Z10-Y10</f>
        <v>25.5</v>
      </c>
      <c r="AB10" s="27">
        <f>AA10/2+Y10</f>
        <v>13.25</v>
      </c>
      <c r="AC10" s="27">
        <f>IF(W10&gt;0,W10,X10*AA10)</f>
        <v>300.90000000000003</v>
      </c>
      <c r="AD10" s="27">
        <f>AC10*AB10</f>
        <v>3986.9250000000006</v>
      </c>
      <c r="AE10" s="58">
        <f>AC10*AB10/($AB$11/2)</f>
        <v>300.90000000000003</v>
      </c>
    </row>
    <row r="11" spans="2:31">
      <c r="B11" s="25" t="s">
        <v>71</v>
      </c>
      <c r="C11" s="27"/>
      <c r="D11" s="27"/>
      <c r="E11" s="27"/>
      <c r="F11" s="27"/>
      <c r="G11" s="27"/>
      <c r="H11" s="27"/>
      <c r="I11" s="57" t="s">
        <v>72</v>
      </c>
      <c r="J11" s="1">
        <f>J10/2+J9*D20+D25*3</f>
        <v>16035.2</v>
      </c>
      <c r="K11" s="5" t="s">
        <v>73</v>
      </c>
      <c r="L11" s="1">
        <f>D23+D25+J9+J7</f>
        <v>807.6</v>
      </c>
      <c r="O11" s="66" t="s">
        <v>115</v>
      </c>
      <c r="P11" s="56">
        <f>5.22*24.25</f>
        <v>126.58499999999999</v>
      </c>
      <c r="Q11" s="54">
        <v>12.125</v>
      </c>
      <c r="R11" s="27" t="s">
        <v>114</v>
      </c>
      <c r="S11" s="65">
        <f t="shared" si="0"/>
        <v>0</v>
      </c>
      <c r="V11" s="25" t="s">
        <v>124</v>
      </c>
      <c r="W11" s="75">
        <v>100</v>
      </c>
      <c r="X11" s="27"/>
      <c r="Y11" s="27">
        <f>Z11-AA11</f>
        <v>26</v>
      </c>
      <c r="Z11" s="27">
        <f>W6</f>
        <v>27</v>
      </c>
      <c r="AA11" s="75">
        <v>1</v>
      </c>
      <c r="AB11" s="27">
        <f>AA11/2+Y11</f>
        <v>26.5</v>
      </c>
      <c r="AC11" s="27">
        <f>IF(W11&gt;0,W11,X11*AA11)</f>
        <v>100</v>
      </c>
      <c r="AD11" s="27">
        <f t="shared" ref="AD11:AD19" si="1">AC11*AB11</f>
        <v>2650</v>
      </c>
      <c r="AE11" s="58">
        <f t="shared" ref="AE11:AE19" si="2">AC11*AB11/($AB$11/2)</f>
        <v>200</v>
      </c>
    </row>
    <row r="12" spans="2:31">
      <c r="B12" s="25" t="s">
        <v>74</v>
      </c>
      <c r="C12" s="27"/>
      <c r="D12" s="54">
        <v>500</v>
      </c>
      <c r="E12" s="27"/>
      <c r="F12" s="27"/>
      <c r="G12" s="27"/>
      <c r="H12" s="27"/>
      <c r="I12" s="57"/>
      <c r="O12" s="66" t="s">
        <v>102</v>
      </c>
      <c r="P12" s="56">
        <v>125</v>
      </c>
      <c r="Q12" s="54">
        <v>29.25</v>
      </c>
      <c r="R12" s="27" t="s">
        <v>114</v>
      </c>
      <c r="S12" s="65">
        <f t="shared" si="0"/>
        <v>0</v>
      </c>
      <c r="V12" s="25" t="s">
        <v>103</v>
      </c>
      <c r="W12" s="75">
        <v>15</v>
      </c>
      <c r="X12" s="27"/>
      <c r="Y12" s="27">
        <f>Z12-AA12</f>
        <v>25</v>
      </c>
      <c r="Z12" s="27">
        <f>Y11</f>
        <v>26</v>
      </c>
      <c r="AA12" s="50">
        <v>1</v>
      </c>
      <c r="AB12" s="27">
        <f t="shared" ref="AB12:AB19" si="3">AA12/2+Y12</f>
        <v>25.5</v>
      </c>
      <c r="AC12" s="27">
        <f t="shared" ref="AC12:AC19" si="4">IF(W12&gt;0,W12,X12*AA12)</f>
        <v>15</v>
      </c>
      <c r="AD12" s="27">
        <f t="shared" si="1"/>
        <v>382.5</v>
      </c>
      <c r="AE12" s="58">
        <f t="shared" si="2"/>
        <v>28.867924528301888</v>
      </c>
    </row>
    <row r="13" spans="2:31">
      <c r="B13" s="25" t="s">
        <v>75</v>
      </c>
      <c r="C13" s="27"/>
      <c r="D13" s="54">
        <v>6.1</v>
      </c>
      <c r="E13" s="27" t="s">
        <v>65</v>
      </c>
      <c r="F13" s="27">
        <f>D13*D20</f>
        <v>176.89999999999998</v>
      </c>
      <c r="G13" s="27" t="s">
        <v>40</v>
      </c>
      <c r="H13" s="27"/>
      <c r="I13" s="57" t="s">
        <v>27</v>
      </c>
      <c r="J13" s="1">
        <f>J11/L11</f>
        <v>19.855373947498762</v>
      </c>
      <c r="O13" s="66" t="s">
        <v>103</v>
      </c>
      <c r="P13" s="56">
        <v>15</v>
      </c>
      <c r="Q13" s="54">
        <v>29</v>
      </c>
      <c r="R13" s="27" t="s">
        <v>114</v>
      </c>
      <c r="S13" s="65">
        <f>SUM(S4:S12)</f>
        <v>14374.968124999999</v>
      </c>
      <c r="V13" s="25" t="s">
        <v>105</v>
      </c>
      <c r="W13" s="75">
        <v>30</v>
      </c>
      <c r="X13" s="27"/>
      <c r="Y13" s="27">
        <v>1</v>
      </c>
      <c r="Z13" s="27">
        <v>5</v>
      </c>
      <c r="AA13" s="27">
        <f>Z13-Y13</f>
        <v>4</v>
      </c>
      <c r="AB13" s="27">
        <f t="shared" si="3"/>
        <v>3</v>
      </c>
      <c r="AC13" s="27">
        <f t="shared" si="4"/>
        <v>30</v>
      </c>
      <c r="AD13" s="27">
        <f t="shared" si="1"/>
        <v>90</v>
      </c>
      <c r="AE13" s="58">
        <f t="shared" si="2"/>
        <v>6.7924528301886795</v>
      </c>
    </row>
    <row r="14" spans="2:31">
      <c r="B14" s="25"/>
      <c r="C14" s="27"/>
      <c r="D14" s="27"/>
      <c r="E14" s="27"/>
      <c r="F14" s="27"/>
      <c r="G14" s="27"/>
      <c r="H14" s="27"/>
      <c r="I14" s="57"/>
      <c r="O14" s="66" t="s">
        <v>104</v>
      </c>
      <c r="P14" s="56">
        <v>10</v>
      </c>
      <c r="Q14" s="54">
        <v>0</v>
      </c>
      <c r="R14" s="27" t="s">
        <v>114</v>
      </c>
      <c r="S14" s="65"/>
      <c r="V14" s="25" t="s">
        <v>104</v>
      </c>
      <c r="W14" s="75">
        <v>10</v>
      </c>
      <c r="X14" s="27"/>
      <c r="Y14" s="27">
        <v>0</v>
      </c>
      <c r="Z14" s="27">
        <v>1</v>
      </c>
      <c r="AA14" s="27">
        <f>Z14-Y14</f>
        <v>1</v>
      </c>
      <c r="AB14" s="27">
        <f t="shared" si="3"/>
        <v>0.5</v>
      </c>
      <c r="AC14" s="27">
        <f t="shared" si="4"/>
        <v>10</v>
      </c>
      <c r="AD14" s="27">
        <f t="shared" si="1"/>
        <v>5</v>
      </c>
      <c r="AE14" s="58">
        <f t="shared" si="2"/>
        <v>0.37735849056603776</v>
      </c>
    </row>
    <row r="15" spans="2:31">
      <c r="B15" s="25" t="s">
        <v>76</v>
      </c>
      <c r="C15" s="27"/>
      <c r="D15" s="27"/>
      <c r="E15" s="27"/>
      <c r="F15" s="27"/>
      <c r="G15" s="27"/>
      <c r="H15" s="27"/>
      <c r="I15" s="57" t="s">
        <v>77</v>
      </c>
      <c r="J15" s="1">
        <f>J13-J5</f>
        <v>5.3553739474987623</v>
      </c>
      <c r="O15" s="66" t="s">
        <v>105</v>
      </c>
      <c r="P15" s="56">
        <v>40</v>
      </c>
      <c r="Q15" s="54">
        <v>3</v>
      </c>
      <c r="R15" s="27" t="s">
        <v>114</v>
      </c>
      <c r="S15" s="65">
        <f t="shared" ref="S15:S23" si="5">P10*Q10/($Q$8/2)</f>
        <v>330.09482758620692</v>
      </c>
      <c r="V15" s="25"/>
      <c r="W15" s="27"/>
      <c r="X15" s="27"/>
      <c r="Y15" s="27"/>
      <c r="Z15" s="27"/>
      <c r="AA15" s="27">
        <f>Z15-Y15</f>
        <v>0</v>
      </c>
      <c r="AB15" s="27">
        <f t="shared" si="3"/>
        <v>0</v>
      </c>
      <c r="AC15" s="27">
        <f t="shared" si="4"/>
        <v>0</v>
      </c>
      <c r="AD15" s="27">
        <f t="shared" si="1"/>
        <v>0</v>
      </c>
      <c r="AE15" s="58">
        <f t="shared" si="2"/>
        <v>0</v>
      </c>
    </row>
    <row r="16" spans="2:31">
      <c r="B16" s="25" t="s">
        <v>74</v>
      </c>
      <c r="C16" s="27"/>
      <c r="D16" s="55">
        <v>400</v>
      </c>
      <c r="E16" s="70" t="s">
        <v>93</v>
      </c>
      <c r="F16" s="27"/>
      <c r="G16" s="27"/>
      <c r="H16" s="27"/>
      <c r="I16" s="58"/>
      <c r="O16" s="66" t="s">
        <v>117</v>
      </c>
      <c r="P16" s="56">
        <v>145</v>
      </c>
      <c r="Q16" s="54">
        <v>26.5</v>
      </c>
      <c r="R16" s="27" t="s">
        <v>114</v>
      </c>
      <c r="S16" s="65">
        <f t="shared" si="5"/>
        <v>105.85124999999999</v>
      </c>
      <c r="V16" s="25"/>
      <c r="W16" s="27"/>
      <c r="X16" s="50"/>
      <c r="Y16" s="27"/>
      <c r="Z16" s="27"/>
      <c r="AA16" s="27">
        <f>Z16-Y16</f>
        <v>0</v>
      </c>
      <c r="AB16" s="27">
        <f t="shared" si="3"/>
        <v>0</v>
      </c>
      <c r="AC16" s="27">
        <f t="shared" si="4"/>
        <v>0</v>
      </c>
      <c r="AD16" s="27">
        <f t="shared" si="1"/>
        <v>0</v>
      </c>
      <c r="AE16" s="58">
        <f t="shared" si="2"/>
        <v>0</v>
      </c>
    </row>
    <row r="17" spans="2:34">
      <c r="B17" s="25" t="s">
        <v>75</v>
      </c>
      <c r="C17" s="27"/>
      <c r="D17" s="54">
        <v>8.3000000000000007</v>
      </c>
      <c r="E17" s="27" t="s">
        <v>65</v>
      </c>
      <c r="F17" s="27">
        <f>D17*(D20-2)</f>
        <v>224.10000000000002</v>
      </c>
      <c r="G17" s="27" t="s">
        <v>40</v>
      </c>
      <c r="H17" s="27"/>
      <c r="I17" s="58"/>
      <c r="O17" s="66"/>
      <c r="P17" s="56"/>
      <c r="Q17" s="54"/>
      <c r="R17" s="27" t="s">
        <v>114</v>
      </c>
      <c r="S17" s="65">
        <f t="shared" si="5"/>
        <v>252.15517241379311</v>
      </c>
      <c r="V17" s="68" t="s">
        <v>126</v>
      </c>
      <c r="W17" s="27"/>
      <c r="X17" s="75">
        <v>0</v>
      </c>
      <c r="Y17" s="27">
        <f>Z14</f>
        <v>1</v>
      </c>
      <c r="Z17" s="27">
        <f>Y18</f>
        <v>25</v>
      </c>
      <c r="AA17" s="27">
        <f>Z17-Y17</f>
        <v>24</v>
      </c>
      <c r="AB17" s="27">
        <f t="shared" si="3"/>
        <v>13</v>
      </c>
      <c r="AC17" s="27">
        <f t="shared" si="4"/>
        <v>0</v>
      </c>
      <c r="AD17" s="27">
        <f t="shared" si="1"/>
        <v>0</v>
      </c>
      <c r="AE17" s="58">
        <f t="shared" si="2"/>
        <v>0</v>
      </c>
    </row>
    <row r="18" spans="2:34">
      <c r="B18" s="25"/>
      <c r="C18" s="26" t="s">
        <v>135</v>
      </c>
      <c r="D18" s="27">
        <f>D13+D17</f>
        <v>14.4</v>
      </c>
      <c r="E18" s="26" t="s">
        <v>65</v>
      </c>
      <c r="F18" s="27">
        <f>F13+F17</f>
        <v>401</v>
      </c>
      <c r="G18" s="26" t="s">
        <v>40</v>
      </c>
      <c r="H18" s="27"/>
      <c r="I18" s="58"/>
      <c r="O18" s="66"/>
      <c r="P18" s="56"/>
      <c r="Q18" s="54"/>
      <c r="R18" s="27" t="s">
        <v>114</v>
      </c>
      <c r="S18" s="65">
        <f t="shared" si="5"/>
        <v>30</v>
      </c>
      <c r="V18" s="25" t="s">
        <v>99</v>
      </c>
      <c r="W18" s="75">
        <v>0</v>
      </c>
      <c r="X18" s="27"/>
      <c r="Y18" s="27">
        <f>Z18-AA18</f>
        <v>25</v>
      </c>
      <c r="Z18" s="27">
        <f>Y19</f>
        <v>25</v>
      </c>
      <c r="AA18" s="72">
        <f>(W18*0.065/Z23*1000/PI()/(Z6/2)^2)/25.4</f>
        <v>0</v>
      </c>
      <c r="AB18" s="27">
        <f>AA18/2+Y18</f>
        <v>25</v>
      </c>
      <c r="AC18" s="27">
        <f>IF(W18&gt;0,W18,X18*AA18)</f>
        <v>0</v>
      </c>
      <c r="AD18" s="27">
        <f t="shared" si="1"/>
        <v>0</v>
      </c>
      <c r="AE18" s="58">
        <f t="shared" si="2"/>
        <v>0</v>
      </c>
    </row>
    <row r="19" spans="2:34">
      <c r="B19" s="25"/>
      <c r="C19" s="27"/>
      <c r="D19" s="27"/>
      <c r="E19" s="27"/>
      <c r="F19" s="27"/>
      <c r="G19" s="27"/>
      <c r="H19" s="27"/>
      <c r="I19" s="58"/>
      <c r="O19" s="25" t="s">
        <v>75</v>
      </c>
      <c r="P19" s="60">
        <f>SUM(P10:P18)</f>
        <v>786.08500000000004</v>
      </c>
      <c r="Q19" s="26" t="s">
        <v>40</v>
      </c>
      <c r="R19" s="27"/>
      <c r="S19" s="65">
        <f t="shared" si="5"/>
        <v>0</v>
      </c>
      <c r="V19" s="68" t="s">
        <v>126</v>
      </c>
      <c r="W19" s="27"/>
      <c r="X19" s="75"/>
      <c r="Y19" s="27">
        <f>Z19-AA19</f>
        <v>25</v>
      </c>
      <c r="Z19" s="27">
        <f>Y12</f>
        <v>25</v>
      </c>
      <c r="AA19" s="75">
        <v>0</v>
      </c>
      <c r="AB19" s="27">
        <f t="shared" si="3"/>
        <v>25</v>
      </c>
      <c r="AC19" s="27">
        <f t="shared" si="4"/>
        <v>0</v>
      </c>
      <c r="AD19" s="27">
        <f t="shared" si="1"/>
        <v>0</v>
      </c>
      <c r="AE19" s="58">
        <f t="shared" si="2"/>
        <v>0</v>
      </c>
    </row>
    <row r="20" spans="2:34">
      <c r="B20" s="25" t="s">
        <v>78</v>
      </c>
      <c r="C20" s="27"/>
      <c r="D20" s="54">
        <v>29</v>
      </c>
      <c r="E20" s="27" t="s">
        <v>7</v>
      </c>
      <c r="F20" s="27"/>
      <c r="G20" s="27"/>
      <c r="H20" s="27"/>
      <c r="I20" s="58"/>
      <c r="O20" s="25" t="s">
        <v>140</v>
      </c>
      <c r="P20" s="60">
        <f>10000000*(P19/S24)/(Q7*Q8^2)</f>
        <v>33.672595547736499</v>
      </c>
      <c r="Q20" s="27" t="s">
        <v>80</v>
      </c>
      <c r="R20" s="27"/>
      <c r="S20" s="65">
        <f t="shared" si="5"/>
        <v>8.2758620689655178</v>
      </c>
      <c r="V20" s="25"/>
      <c r="W20" s="27"/>
      <c r="X20" s="27"/>
      <c r="Y20" s="27"/>
      <c r="Z20" s="27"/>
      <c r="AA20" s="27"/>
      <c r="AB20" s="27"/>
      <c r="AC20" s="27"/>
      <c r="AD20" s="27"/>
      <c r="AE20" s="58"/>
    </row>
    <row r="21" spans="2:34">
      <c r="B21" s="25" t="s">
        <v>79</v>
      </c>
      <c r="C21" s="27"/>
      <c r="D21" s="54">
        <v>80</v>
      </c>
      <c r="E21" s="27" t="s">
        <v>80</v>
      </c>
      <c r="F21" s="27"/>
      <c r="G21" s="27"/>
      <c r="H21" s="27"/>
      <c r="I21" s="58"/>
      <c r="O21" s="68" t="s">
        <v>141</v>
      </c>
      <c r="P21" s="60">
        <f>P20/Q6*100</f>
        <v>46.767493816300693</v>
      </c>
      <c r="Q21" s="27" t="s">
        <v>86</v>
      </c>
      <c r="R21" s="27"/>
      <c r="S21" s="65">
        <f t="shared" si="5"/>
        <v>265</v>
      </c>
      <c r="V21" s="68" t="s">
        <v>138</v>
      </c>
      <c r="W21" s="71">
        <f>W22/W8</f>
        <v>6.9075757575757581</v>
      </c>
      <c r="X21" s="26" t="s">
        <v>138</v>
      </c>
      <c r="Y21" s="27"/>
      <c r="Z21" s="27"/>
      <c r="AA21" s="27"/>
      <c r="AB21" s="27"/>
      <c r="AC21" s="27"/>
      <c r="AD21" s="27">
        <f>SUM(AD10:AD19)</f>
        <v>7114.4250000000011</v>
      </c>
      <c r="AE21" s="58">
        <f>SUM(AE10:AE19)</f>
        <v>536.93773584905671</v>
      </c>
    </row>
    <row r="22" spans="2:34">
      <c r="B22" s="25"/>
      <c r="C22" s="27"/>
      <c r="D22" s="27"/>
      <c r="E22" s="27"/>
      <c r="F22" s="27"/>
      <c r="G22" s="27"/>
      <c r="H22" s="27"/>
      <c r="I22" s="58"/>
      <c r="O22" s="25" t="s">
        <v>87</v>
      </c>
      <c r="P22" s="60">
        <f>(S13/(P19*Q8)-0.5)*100</f>
        <v>13.057882548895183</v>
      </c>
      <c r="Q22" s="27" t="s">
        <v>86</v>
      </c>
      <c r="R22" s="27"/>
      <c r="S22" s="65">
        <f t="shared" si="5"/>
        <v>0</v>
      </c>
      <c r="V22" s="25" t="s">
        <v>75</v>
      </c>
      <c r="W22" s="71">
        <f>SUM(AC10:AC19)</f>
        <v>455.90000000000003</v>
      </c>
      <c r="X22" s="26" t="s">
        <v>40</v>
      </c>
      <c r="Y22" s="27"/>
      <c r="Z22" s="26" t="s">
        <v>127</v>
      </c>
      <c r="AA22" s="27"/>
      <c r="AB22" s="27"/>
      <c r="AC22" s="27"/>
      <c r="AD22" s="27"/>
      <c r="AE22" s="58"/>
    </row>
    <row r="23" spans="2:34">
      <c r="B23" s="25" t="s">
        <v>81</v>
      </c>
      <c r="C23" s="27"/>
      <c r="D23" s="27">
        <v>10</v>
      </c>
      <c r="E23" s="27" t="s">
        <v>40</v>
      </c>
      <c r="F23" s="27"/>
      <c r="G23" s="27"/>
      <c r="H23" s="27"/>
      <c r="I23" s="58"/>
      <c r="O23" s="25"/>
      <c r="P23" s="27"/>
      <c r="Q23" s="27"/>
      <c r="R23" s="27"/>
      <c r="S23" s="65">
        <f t="shared" si="5"/>
        <v>0</v>
      </c>
      <c r="V23" s="25" t="s">
        <v>87</v>
      </c>
      <c r="W23" s="71">
        <f>(AD21/(W22*AB11)-0.5)*100</f>
        <v>8.8876656996113912</v>
      </c>
      <c r="X23" s="26" t="s">
        <v>86</v>
      </c>
      <c r="Y23" s="27"/>
      <c r="Z23" s="75">
        <v>2.7</v>
      </c>
      <c r="AA23" s="26" t="s">
        <v>96</v>
      </c>
      <c r="AB23" s="27"/>
      <c r="AC23" s="27"/>
      <c r="AD23" s="27"/>
      <c r="AE23" s="58"/>
    </row>
    <row r="24" spans="2:34">
      <c r="B24" s="25" t="s">
        <v>82</v>
      </c>
      <c r="C24" s="27"/>
      <c r="D24" s="27">
        <v>15</v>
      </c>
      <c r="E24" s="27" t="s">
        <v>40</v>
      </c>
      <c r="F24" s="27"/>
      <c r="G24" s="27"/>
      <c r="H24" s="27"/>
      <c r="I24" s="58"/>
      <c r="O24" s="25"/>
      <c r="P24" s="27"/>
      <c r="Q24" s="27"/>
      <c r="R24" s="27"/>
      <c r="S24" s="65">
        <f>SUM(S15:S23)</f>
        <v>991.37711206896552</v>
      </c>
      <c r="V24" s="68" t="s">
        <v>140</v>
      </c>
      <c r="W24" s="71">
        <f>10000000*W22/AE21/(W7*AB11^2)</f>
        <v>34.545053756288219</v>
      </c>
      <c r="X24" s="26" t="s">
        <v>80</v>
      </c>
      <c r="Y24" s="27"/>
      <c r="Z24" s="27"/>
      <c r="AA24" s="27"/>
      <c r="AB24" s="27"/>
      <c r="AC24" s="27"/>
      <c r="AD24" s="27"/>
      <c r="AE24" s="58"/>
    </row>
    <row r="25" spans="2:34" ht="13.5" thickBot="1">
      <c r="B25" s="25" t="s">
        <v>83</v>
      </c>
      <c r="C25" s="27"/>
      <c r="D25" s="27">
        <v>40</v>
      </c>
      <c r="E25" s="27" t="s">
        <v>40</v>
      </c>
      <c r="F25" s="27"/>
      <c r="G25" s="27"/>
      <c r="H25" s="27"/>
      <c r="I25" s="58"/>
      <c r="O25" s="74" t="s">
        <v>137</v>
      </c>
      <c r="P25" s="24"/>
      <c r="Q25" s="24"/>
      <c r="R25" s="24"/>
      <c r="S25" s="62"/>
      <c r="V25" s="68" t="s">
        <v>141</v>
      </c>
      <c r="W25" s="71">
        <f>W24/W8*100</f>
        <v>52.340990539830635</v>
      </c>
      <c r="X25" s="26" t="s">
        <v>86</v>
      </c>
      <c r="Y25" s="27"/>
      <c r="Z25" s="27"/>
      <c r="AA25" s="27"/>
      <c r="AB25" s="27"/>
      <c r="AC25" s="27"/>
      <c r="AD25" s="27"/>
      <c r="AE25" s="58"/>
    </row>
    <row r="26" spans="2:34" ht="13.5" thickBot="1">
      <c r="B26" s="25"/>
      <c r="C26" s="27"/>
      <c r="D26" s="27"/>
      <c r="E26" s="27"/>
      <c r="F26" s="27"/>
      <c r="G26" s="27"/>
      <c r="H26" s="27"/>
      <c r="I26" s="58"/>
      <c r="V26" s="61" t="s">
        <v>139</v>
      </c>
      <c r="W26" s="40">
        <f>7400000*(3.5596-3*(1-1/(W11+W12+W18)))*1/W6^2/(W7*W6)^0.5</f>
        <v>61.158079534614302</v>
      </c>
      <c r="X26" s="24" t="s">
        <v>142</v>
      </c>
      <c r="Y26" s="24"/>
      <c r="Z26" s="24"/>
      <c r="AA26" s="24"/>
      <c r="AB26" s="24"/>
      <c r="AC26" s="24"/>
      <c r="AD26" s="24"/>
      <c r="AE26" s="62"/>
    </row>
    <row r="27" spans="2:34">
      <c r="B27" s="25"/>
      <c r="C27" s="27"/>
      <c r="D27" s="27"/>
      <c r="E27" s="27"/>
      <c r="F27" s="27"/>
      <c r="G27" s="27"/>
      <c r="H27" s="27"/>
      <c r="I27" s="58"/>
    </row>
    <row r="28" spans="2:34">
      <c r="B28" s="25" t="s">
        <v>84</v>
      </c>
      <c r="C28" s="27"/>
      <c r="D28" s="59">
        <f>F7+F9+F13+F17+D23+D24+D25</f>
        <v>791</v>
      </c>
      <c r="E28" s="27" t="s">
        <v>40</v>
      </c>
      <c r="F28" s="27"/>
      <c r="G28" s="27"/>
      <c r="H28" s="27"/>
      <c r="I28" s="58"/>
    </row>
    <row r="29" spans="2:34">
      <c r="B29" s="25" t="s">
        <v>85</v>
      </c>
      <c r="C29" s="27"/>
      <c r="D29" s="60">
        <f>(D12*D16)/(D12+D16)</f>
        <v>222.22222222222223</v>
      </c>
      <c r="E29" s="27"/>
      <c r="F29" s="27"/>
      <c r="G29" s="27"/>
      <c r="H29" s="27"/>
      <c r="I29" s="58"/>
      <c r="AB29" s="6"/>
      <c r="AF29" s="6"/>
      <c r="AG29" s="6"/>
    </row>
    <row r="30" spans="2:34">
      <c r="B30" s="25" t="s">
        <v>140</v>
      </c>
      <c r="C30" s="27"/>
      <c r="D30" s="35">
        <f>10000000*((F7+D24+F13+F17+D25)/(2*(F7+D24)+F13+F17+D25*3/(D20/2))/(D29*D20^2))</f>
        <v>38.364511435124186</v>
      </c>
      <c r="E30" s="27" t="s">
        <v>80</v>
      </c>
      <c r="F30" s="27"/>
      <c r="G30" s="27"/>
      <c r="H30" s="27"/>
      <c r="I30" s="58"/>
      <c r="O30" s="7" t="s">
        <v>133</v>
      </c>
      <c r="P30" s="1">
        <v>6</v>
      </c>
      <c r="Q30" s="4">
        <f>P30/25.4</f>
        <v>0.23622047244094491</v>
      </c>
    </row>
    <row r="31" spans="2:34">
      <c r="B31" s="25" t="s">
        <v>141</v>
      </c>
      <c r="C31" s="27"/>
      <c r="D31" s="60">
        <f>D30/D21*100</f>
        <v>47.955639293905236</v>
      </c>
      <c r="E31" s="27" t="s">
        <v>86</v>
      </c>
      <c r="F31" s="27" t="s">
        <v>90</v>
      </c>
      <c r="G31" s="27"/>
      <c r="H31" s="27"/>
      <c r="I31" s="58"/>
      <c r="O31" s="7" t="s">
        <v>134</v>
      </c>
      <c r="P31" s="1">
        <v>3.05</v>
      </c>
      <c r="Q31" s="73">
        <f>P31*25.4</f>
        <v>77.469999999999985</v>
      </c>
      <c r="Y31" s="6"/>
      <c r="AA31" s="6"/>
      <c r="AC31" s="13"/>
      <c r="AD31" s="13"/>
      <c r="AF31" s="6"/>
      <c r="AG31" s="6"/>
      <c r="AH31" s="6"/>
    </row>
    <row r="32" spans="2:34">
      <c r="B32" s="25" t="s">
        <v>87</v>
      </c>
      <c r="C32" s="27"/>
      <c r="D32" s="60">
        <f>J15/D20*100</f>
        <v>18.466806715512973</v>
      </c>
      <c r="E32" s="27" t="s">
        <v>86</v>
      </c>
      <c r="F32" s="27" t="s">
        <v>91</v>
      </c>
      <c r="G32" s="27"/>
      <c r="H32" s="27"/>
      <c r="I32" s="58"/>
      <c r="Y32" s="6"/>
      <c r="Z32" s="6"/>
      <c r="AA32" s="6"/>
      <c r="AB32" s="6"/>
    </row>
    <row r="33" spans="2:25" ht="13.5" thickBot="1">
      <c r="B33" s="61" t="s">
        <v>139</v>
      </c>
      <c r="C33" s="24"/>
      <c r="D33" s="40">
        <f>7400000*(3.5596-3*(1-1/(F7+D24)))*1/D20^2/(D29*D20)^0.5</f>
        <v>62.30387072981415</v>
      </c>
      <c r="E33" s="24" t="s">
        <v>142</v>
      </c>
      <c r="F33" s="24"/>
      <c r="G33" s="24"/>
      <c r="H33" s="24"/>
      <c r="I33" s="62"/>
    </row>
    <row r="37" spans="2:25" ht="18.75" thickBot="1">
      <c r="B37" s="53" t="s">
        <v>109</v>
      </c>
      <c r="O37" s="53" t="s">
        <v>111</v>
      </c>
    </row>
    <row r="38" spans="2:25">
      <c r="B38" s="22"/>
      <c r="C38" s="23"/>
      <c r="D38" s="23"/>
      <c r="E38" s="23"/>
      <c r="F38" s="23"/>
      <c r="G38" s="28"/>
      <c r="O38" s="22"/>
      <c r="P38" s="23"/>
      <c r="Q38" s="23"/>
      <c r="R38" s="23"/>
      <c r="S38" s="28"/>
      <c r="Y38" s="6"/>
    </row>
    <row r="39" spans="2:25">
      <c r="B39" s="25" t="s">
        <v>88</v>
      </c>
      <c r="C39" s="27"/>
      <c r="D39" s="27"/>
      <c r="E39" s="54">
        <v>19.5</v>
      </c>
      <c r="F39" s="27" t="s">
        <v>92</v>
      </c>
      <c r="G39" s="58"/>
      <c r="O39" s="25" t="s">
        <v>98</v>
      </c>
      <c r="P39" s="54">
        <v>2.7</v>
      </c>
      <c r="Q39" s="27" t="s">
        <v>96</v>
      </c>
      <c r="R39" s="27"/>
      <c r="S39" s="58"/>
      <c r="T39" s="1" t="s">
        <v>129</v>
      </c>
      <c r="U39" s="1">
        <v>2.7</v>
      </c>
      <c r="V39" s="1" t="s">
        <v>96</v>
      </c>
    </row>
    <row r="40" spans="2:25">
      <c r="B40" s="25" t="s">
        <v>89</v>
      </c>
      <c r="C40" s="27"/>
      <c r="D40" s="27"/>
      <c r="E40" s="54">
        <v>30.5</v>
      </c>
      <c r="F40" s="27" t="s">
        <v>92</v>
      </c>
      <c r="G40" s="58"/>
      <c r="O40" s="68" t="s">
        <v>136</v>
      </c>
      <c r="P40" s="54">
        <v>0.23622000000000001</v>
      </c>
      <c r="Q40" s="27" t="s">
        <v>112</v>
      </c>
      <c r="R40" s="63">
        <f>P40*2.54</f>
        <v>0.59999880000000005</v>
      </c>
      <c r="S40" s="58"/>
      <c r="T40" s="1" t="s">
        <v>130</v>
      </c>
      <c r="U40" s="1">
        <v>8.9600000000000009</v>
      </c>
    </row>
    <row r="41" spans="2:25">
      <c r="B41" s="25" t="s">
        <v>87</v>
      </c>
      <c r="C41" s="27"/>
      <c r="D41" s="27"/>
      <c r="E41" s="59">
        <f>(E39/E40 - 0.5)*100</f>
        <v>13.934426229508201</v>
      </c>
      <c r="F41" s="27"/>
      <c r="G41" s="58"/>
      <c r="O41" s="25" t="s">
        <v>95</v>
      </c>
      <c r="P41" s="54">
        <v>3</v>
      </c>
      <c r="Q41" s="27" t="s">
        <v>112</v>
      </c>
      <c r="R41" s="63">
        <f>P41*2.54</f>
        <v>7.62</v>
      </c>
      <c r="S41" s="58"/>
      <c r="T41" s="1" t="s">
        <v>131</v>
      </c>
      <c r="U41" s="1">
        <v>11.35</v>
      </c>
    </row>
    <row r="42" spans="2:25" ht="13.5" thickBot="1">
      <c r="B42" s="61"/>
      <c r="C42" s="24"/>
      <c r="D42" s="24"/>
      <c r="E42" s="24"/>
      <c r="F42" s="24"/>
      <c r="G42" s="62"/>
      <c r="O42" s="25" t="s">
        <v>97</v>
      </c>
      <c r="P42" s="59">
        <f>(P40/2)^2*PI()*P41</f>
        <v>0.13147538960142774</v>
      </c>
      <c r="Q42" s="27" t="s">
        <v>113</v>
      </c>
      <c r="R42" s="63">
        <f>(R40/2)^2*PI()*R41</f>
        <v>2.1544956238235309</v>
      </c>
      <c r="S42" s="58"/>
      <c r="T42" s="1" t="s">
        <v>132</v>
      </c>
      <c r="U42" s="1">
        <v>7.9</v>
      </c>
    </row>
    <row r="43" spans="2:25">
      <c r="O43" s="25" t="s">
        <v>99</v>
      </c>
      <c r="P43" s="59">
        <f>R43/0.065</f>
        <v>89.494433604977445</v>
      </c>
      <c r="Q43" s="27" t="s">
        <v>40</v>
      </c>
      <c r="R43" s="27">
        <f>P39*R42</f>
        <v>5.8171381843235341</v>
      </c>
      <c r="S43" s="58" t="s">
        <v>35</v>
      </c>
    </row>
    <row r="44" spans="2:25">
      <c r="O44" s="25" t="s">
        <v>65</v>
      </c>
      <c r="P44" s="59">
        <f>R43/0.065/P41</f>
        <v>29.831477868325816</v>
      </c>
      <c r="Q44" s="27"/>
      <c r="R44" s="27"/>
      <c r="S44" s="58"/>
    </row>
    <row r="45" spans="2:25" ht="13.5" thickBot="1">
      <c r="O45" s="61"/>
      <c r="P45" s="24"/>
      <c r="Q45" s="24"/>
      <c r="R45" s="24"/>
      <c r="S45" s="62"/>
    </row>
  </sheetData>
  <sheetProtection sheet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U40"/>
  <sheetViews>
    <sheetView workbookViewId="0">
      <selection activeCell="R32" sqref="R32"/>
    </sheetView>
  </sheetViews>
  <sheetFormatPr defaultRowHeight="15"/>
  <cols>
    <col min="1" max="3" width="9.140625" style="76"/>
    <col min="4" max="5" width="12" style="76" customWidth="1"/>
    <col min="6" max="6" width="10.5703125" style="76" customWidth="1"/>
    <col min="7" max="7" width="11.5703125" style="76" customWidth="1"/>
    <col min="8" max="8" width="11.7109375" style="76" customWidth="1"/>
    <col min="9" max="9" width="7.140625" style="76" customWidth="1"/>
    <col min="10" max="11" width="10.140625" style="76" customWidth="1"/>
    <col min="12" max="12" width="9.140625" style="76"/>
    <col min="13" max="13" width="13.140625" style="76" customWidth="1"/>
    <col min="14" max="14" width="10.28515625" style="76" bestFit="1" customWidth="1"/>
    <col min="15" max="16384" width="9.140625" style="76"/>
  </cols>
  <sheetData>
    <row r="2" spans="2:17">
      <c r="B2" s="77" t="s">
        <v>193</v>
      </c>
      <c r="M2" s="76" t="s">
        <v>195</v>
      </c>
    </row>
    <row r="3" spans="2:17">
      <c r="B3" s="76" t="s">
        <v>148</v>
      </c>
      <c r="C3" s="78">
        <v>30</v>
      </c>
      <c r="D3" s="76" t="s">
        <v>112</v>
      </c>
      <c r="G3" s="79" t="s">
        <v>192</v>
      </c>
      <c r="H3" s="79" t="s">
        <v>191</v>
      </c>
      <c r="I3" s="79" t="s">
        <v>20</v>
      </c>
      <c r="J3" s="79" t="s">
        <v>21</v>
      </c>
      <c r="K3" s="79" t="s">
        <v>147</v>
      </c>
      <c r="M3" s="76" t="s">
        <v>2</v>
      </c>
      <c r="N3" s="76" t="s">
        <v>196</v>
      </c>
      <c r="Q3" s="76" t="s">
        <v>204</v>
      </c>
    </row>
    <row r="4" spans="2:17">
      <c r="B4" s="76" t="s">
        <v>149</v>
      </c>
      <c r="C4" s="78">
        <v>74</v>
      </c>
      <c r="D4" s="76" t="s">
        <v>80</v>
      </c>
      <c r="G4" s="76">
        <v>350</v>
      </c>
      <c r="H4" s="80">
        <f t="shared" ref="H4:H20" si="0">(450240*$C$15/(G4+$C$13))^0.5</f>
        <v>334.10700892115773</v>
      </c>
      <c r="I4" s="80">
        <f t="shared" ref="I4:I20" si="1">G4*H4*H4/450240</f>
        <v>86.775103708210949</v>
      </c>
      <c r="J4" s="81">
        <f>G4*H4/450240*2</f>
        <v>0.51944497655652633</v>
      </c>
      <c r="K4" s="80">
        <f t="shared" ref="K4:K20" si="2">I4/$C$15*100</f>
        <v>79.283916855301086</v>
      </c>
      <c r="M4" s="78">
        <v>1</v>
      </c>
      <c r="N4" s="78">
        <v>2</v>
      </c>
      <c r="O4" s="76">
        <f t="shared" ref="O4:O9" si="3">M4^2/N4</f>
        <v>0.5</v>
      </c>
      <c r="Q4" s="82">
        <f>G4*H4/($N$27+7910/3*$O$11)*$N$23</f>
        <v>9.3365953764047518</v>
      </c>
    </row>
    <row r="5" spans="2:17">
      <c r="B5" s="76" t="s">
        <v>63</v>
      </c>
      <c r="C5" s="78">
        <v>7.25</v>
      </c>
      <c r="D5" s="76" t="s">
        <v>112</v>
      </c>
      <c r="G5" s="76">
        <v>375</v>
      </c>
      <c r="H5" s="80">
        <f t="shared" si="0"/>
        <v>325.0302908505214</v>
      </c>
      <c r="I5" s="80">
        <f t="shared" si="1"/>
        <v>87.990313474792231</v>
      </c>
      <c r="J5" s="81">
        <f t="shared" ref="J5:J40" si="4">G5*H5/450240*2</f>
        <v>0.54142838960974382</v>
      </c>
      <c r="K5" s="80">
        <f t="shared" si="2"/>
        <v>80.394219073081814</v>
      </c>
      <c r="M5" s="78">
        <v>1</v>
      </c>
      <c r="N5" s="78">
        <v>2</v>
      </c>
      <c r="O5" s="76">
        <f t="shared" si="3"/>
        <v>0.5</v>
      </c>
      <c r="Q5" s="82">
        <f t="shared" ref="Q5:Q20" si="5">G5*H5/($N$27+7910/3*$O$11)*$N$23</f>
        <v>9.7317291093958751</v>
      </c>
    </row>
    <row r="6" spans="2:17" ht="15.75" thickBot="1">
      <c r="G6" s="76">
        <v>400</v>
      </c>
      <c r="H6" s="80">
        <f t="shared" si="0"/>
        <v>316.65529153971011</v>
      </c>
      <c r="I6" s="80">
        <f t="shared" si="1"/>
        <v>89.081888468460193</v>
      </c>
      <c r="J6" s="81">
        <f t="shared" si="4"/>
        <v>0.56264266442734556</v>
      </c>
      <c r="K6" s="80">
        <f t="shared" si="2"/>
        <v>81.39155975423283</v>
      </c>
      <c r="M6" s="78">
        <v>0</v>
      </c>
      <c r="N6" s="78">
        <v>2</v>
      </c>
      <c r="O6" s="76">
        <f t="shared" si="3"/>
        <v>0</v>
      </c>
      <c r="Q6" s="82">
        <f t="shared" si="5"/>
        <v>10.113038216452464</v>
      </c>
    </row>
    <row r="7" spans="2:17">
      <c r="B7" s="83" t="s">
        <v>143</v>
      </c>
      <c r="C7" s="84" t="s">
        <v>144</v>
      </c>
      <c r="D7" s="84"/>
      <c r="E7" s="84" t="s">
        <v>20</v>
      </c>
      <c r="F7" s="85"/>
      <c r="G7" s="76">
        <v>425</v>
      </c>
      <c r="H7" s="80">
        <f t="shared" si="0"/>
        <v>308.89601785959712</v>
      </c>
      <c r="I7" s="80">
        <f t="shared" si="1"/>
        <v>90.06778315130714</v>
      </c>
      <c r="J7" s="81">
        <f t="shared" si="4"/>
        <v>0.58315923769691169</v>
      </c>
      <c r="K7" s="80">
        <f t="shared" si="2"/>
        <v>82.292343374449061</v>
      </c>
      <c r="M7" s="78">
        <v>0</v>
      </c>
      <c r="N7" s="78">
        <v>1</v>
      </c>
      <c r="O7" s="76">
        <f t="shared" si="3"/>
        <v>0</v>
      </c>
      <c r="Q7" s="82">
        <f t="shared" si="5"/>
        <v>10.481806713162444</v>
      </c>
    </row>
    <row r="8" spans="2:17">
      <c r="B8" s="86" t="s">
        <v>8</v>
      </c>
      <c r="C8" s="87" t="s">
        <v>9</v>
      </c>
      <c r="D8" s="87"/>
      <c r="E8" s="87" t="s">
        <v>151</v>
      </c>
      <c r="F8" s="88" t="s">
        <v>147</v>
      </c>
      <c r="G8" s="76">
        <v>450</v>
      </c>
      <c r="H8" s="80">
        <f t="shared" si="0"/>
        <v>301.68054197087918</v>
      </c>
      <c r="I8" s="80">
        <f t="shared" si="1"/>
        <v>90.962635997977799</v>
      </c>
      <c r="J8" s="81">
        <f t="shared" si="4"/>
        <v>0.60303946289488108</v>
      </c>
      <c r="K8" s="80">
        <f t="shared" si="2"/>
        <v>83.109944687052888</v>
      </c>
      <c r="M8" s="78">
        <v>0</v>
      </c>
      <c r="N8" s="78">
        <v>1</v>
      </c>
      <c r="O8" s="76">
        <f t="shared" si="3"/>
        <v>0</v>
      </c>
      <c r="Q8" s="82">
        <f t="shared" si="5"/>
        <v>10.839137377703095</v>
      </c>
    </row>
    <row r="9" spans="2:17">
      <c r="B9" s="89">
        <v>511</v>
      </c>
      <c r="C9" s="78">
        <v>286</v>
      </c>
      <c r="D9" s="87"/>
      <c r="E9" s="87">
        <f>B9*C9*C9/450240</f>
        <v>92.834390547263681</v>
      </c>
      <c r="F9" s="88">
        <f>B9/(B9+$C$13)*100</f>
        <v>84.820112992447491</v>
      </c>
      <c r="G9" s="76">
        <v>475</v>
      </c>
      <c r="H9" s="80">
        <f t="shared" si="0"/>
        <v>294.94817528340195</v>
      </c>
      <c r="I9" s="80">
        <f t="shared" si="1"/>
        <v>91.778501241402324</v>
      </c>
      <c r="J9" s="81">
        <f t="shared" si="4"/>
        <v>0.62233645726552911</v>
      </c>
      <c r="K9" s="80">
        <f t="shared" si="2"/>
        <v>83.855377298027449</v>
      </c>
      <c r="M9" s="78">
        <v>0</v>
      </c>
      <c r="N9" s="78">
        <v>1</v>
      </c>
      <c r="O9" s="76">
        <f t="shared" si="3"/>
        <v>0</v>
      </c>
      <c r="Q9" s="82">
        <f t="shared" si="5"/>
        <v>11.18598494876608</v>
      </c>
    </row>
    <row r="10" spans="2:17" ht="15.75" thickBot="1">
      <c r="B10" s="90">
        <v>605</v>
      </c>
      <c r="C10" s="91">
        <v>266</v>
      </c>
      <c r="D10" s="92"/>
      <c r="E10" s="92">
        <f>B10*C10*C10/450240</f>
        <v>95.076803482587067</v>
      </c>
      <c r="F10" s="93">
        <f>B10/(B10+$C$13)*100</f>
        <v>86.868941206093396</v>
      </c>
      <c r="G10" s="76">
        <v>500</v>
      </c>
      <c r="H10" s="80">
        <f t="shared" si="0"/>
        <v>288.64730680163689</v>
      </c>
      <c r="I10" s="80">
        <f t="shared" si="1"/>
        <v>92.525395038022253</v>
      </c>
      <c r="J10" s="81">
        <f t="shared" si="4"/>
        <v>0.6410965414037777</v>
      </c>
      <c r="K10" s="80">
        <f t="shared" si="2"/>
        <v>84.53779268147747</v>
      </c>
      <c r="Q10" s="82">
        <f t="shared" si="5"/>
        <v>11.52318200087209</v>
      </c>
    </row>
    <row r="11" spans="2:17">
      <c r="G11" s="76">
        <v>525</v>
      </c>
      <c r="H11" s="80">
        <f t="shared" si="0"/>
        <v>282.73372881861746</v>
      </c>
      <c r="I11" s="80">
        <f t="shared" si="1"/>
        <v>93.211708735633778</v>
      </c>
      <c r="J11" s="81">
        <f t="shared" si="4"/>
        <v>0.6593603750434176</v>
      </c>
      <c r="K11" s="80">
        <f t="shared" si="2"/>
        <v>85.164857770573263</v>
      </c>
      <c r="N11" s="76" t="s">
        <v>197</v>
      </c>
      <c r="O11" s="76">
        <f>SUM(O4:O9)</f>
        <v>1</v>
      </c>
      <c r="Q11" s="82">
        <f t="shared" si="5"/>
        <v>11.851459359228123</v>
      </c>
    </row>
    <row r="12" spans="2:17">
      <c r="G12" s="76">
        <v>550</v>
      </c>
      <c r="H12" s="80">
        <f t="shared" si="0"/>
        <v>277.16932521297218</v>
      </c>
      <c r="I12" s="80">
        <f t="shared" si="1"/>
        <v>93.844525500750464</v>
      </c>
      <c r="J12" s="81">
        <f t="shared" si="4"/>
        <v>0.677163863126931</v>
      </c>
      <c r="K12" s="80">
        <f t="shared" si="2"/>
        <v>85.743044250866745</v>
      </c>
      <c r="Q12" s="82">
        <f t="shared" si="5"/>
        <v>12.171462385585853</v>
      </c>
    </row>
    <row r="13" spans="2:17" ht="18.75">
      <c r="B13" s="76" t="s">
        <v>145</v>
      </c>
      <c r="C13" s="76">
        <f>(E10-E9)/(C9^2-C10^2)*450240</f>
        <v>91.451449275362464</v>
      </c>
      <c r="D13" s="76" t="s">
        <v>8</v>
      </c>
      <c r="G13" s="76">
        <v>575</v>
      </c>
      <c r="H13" s="80">
        <f t="shared" si="0"/>
        <v>271.92103305307694</v>
      </c>
      <c r="I13" s="80">
        <f t="shared" si="1"/>
        <v>94.429865681803534</v>
      </c>
      <c r="J13" s="81">
        <f t="shared" si="4"/>
        <v>0.69453888595202218</v>
      </c>
      <c r="K13" s="80">
        <f t="shared" si="2"/>
        <v>86.277852741591559</v>
      </c>
      <c r="M13" s="94" t="s">
        <v>207</v>
      </c>
      <c r="Q13" s="82">
        <f t="shared" si="5"/>
        <v>12.4837641020238</v>
      </c>
    </row>
    <row r="14" spans="2:17">
      <c r="G14" s="76">
        <v>600</v>
      </c>
      <c r="H14" s="80">
        <f t="shared" si="0"/>
        <v>266.9600126609605</v>
      </c>
      <c r="I14" s="80">
        <f t="shared" si="1"/>
        <v>94.972878944483199</v>
      </c>
      <c r="J14" s="81">
        <f t="shared" si="4"/>
        <v>0.71151389301961754</v>
      </c>
      <c r="K14" s="80">
        <f t="shared" si="2"/>
        <v>86.773988344199282</v>
      </c>
      <c r="Q14" s="82">
        <f t="shared" si="5"/>
        <v>12.788875864875745</v>
      </c>
    </row>
    <row r="15" spans="2:17">
      <c r="B15" s="76" t="s">
        <v>146</v>
      </c>
      <c r="C15" s="82">
        <f>(B9+C13)*C9*C9/450240</f>
        <v>109.44855798002743</v>
      </c>
      <c r="D15" s="76" t="s">
        <v>151</v>
      </c>
      <c r="G15" s="76">
        <v>625</v>
      </c>
      <c r="H15" s="80">
        <f t="shared" si="0"/>
        <v>262.26097841765215</v>
      </c>
      <c r="I15" s="80">
        <f t="shared" si="1"/>
        <v>95.477996180626178</v>
      </c>
      <c r="J15" s="81">
        <f t="shared" si="4"/>
        <v>0.72811439015206381</v>
      </c>
      <c r="K15" s="80">
        <f t="shared" si="2"/>
        <v>87.235499437141371</v>
      </c>
      <c r="Q15" s="82">
        <f t="shared" si="5"/>
        <v>13.087256120278891</v>
      </c>
    </row>
    <row r="16" spans="2:17">
      <c r="G16" s="76">
        <v>650</v>
      </c>
      <c r="H16" s="80">
        <f t="shared" si="0"/>
        <v>257.80165476711932</v>
      </c>
      <c r="I16" s="80">
        <f t="shared" si="1"/>
        <v>95.949050685039609</v>
      </c>
      <c r="J16" s="81">
        <f t="shared" si="4"/>
        <v>0.74436334221138756</v>
      </c>
      <c r="K16" s="80">
        <f t="shared" si="2"/>
        <v>87.665888391648565</v>
      </c>
      <c r="Q16" s="82">
        <f t="shared" si="5"/>
        <v>13.379317642702713</v>
      </c>
    </row>
    <row r="17" spans="2:21">
      <c r="B17" s="76" t="s">
        <v>150</v>
      </c>
      <c r="C17" s="82">
        <f>C4*(C3-C5)/12</f>
        <v>140.29166666666666</v>
      </c>
      <c r="D17" s="76" t="s">
        <v>151</v>
      </c>
      <c r="G17" s="76">
        <v>675</v>
      </c>
      <c r="H17" s="80">
        <f t="shared" si="0"/>
        <v>253.5623306462725</v>
      </c>
      <c r="I17" s="80">
        <f t="shared" si="1"/>
        <v>96.38937561715862</v>
      </c>
      <c r="J17" s="81">
        <f t="shared" si="4"/>
        <v>0.76028150846763476</v>
      </c>
      <c r="K17" s="80">
        <f t="shared" si="2"/>
        <v>88.068200619644614</v>
      </c>
      <c r="Q17" s="82">
        <f t="shared" si="5"/>
        <v>13.665433562918464</v>
      </c>
    </row>
    <row r="18" spans="2:21">
      <c r="G18" s="76">
        <v>700</v>
      </c>
      <c r="H18" s="80">
        <f t="shared" si="0"/>
        <v>249.5254919642087</v>
      </c>
      <c r="I18" s="80">
        <f t="shared" si="1"/>
        <v>96.801882991263014</v>
      </c>
      <c r="J18" s="81">
        <f t="shared" si="4"/>
        <v>0.77588772376930559</v>
      </c>
      <c r="K18" s="80">
        <f t="shared" si="2"/>
        <v>88.445096744835851</v>
      </c>
      <c r="Q18" s="82">
        <f t="shared" si="5"/>
        <v>13.945942421806045</v>
      </c>
    </row>
    <row r="19" spans="2:21">
      <c r="B19" s="76" t="s">
        <v>161</v>
      </c>
      <c r="C19" s="82">
        <f>C15/C17*100</f>
        <v>78.015010143173697</v>
      </c>
      <c r="D19" s="76" t="s">
        <v>86</v>
      </c>
      <c r="G19" s="76">
        <v>725</v>
      </c>
      <c r="H19" s="80">
        <f t="shared" si="0"/>
        <v>245.67551647135957</v>
      </c>
      <c r="I19" s="80">
        <f t="shared" si="1"/>
        <v>97.189128154462537</v>
      </c>
      <c r="J19" s="81">
        <f t="shared" si="4"/>
        <v>0.79119913575753231</v>
      </c>
      <c r="K19" s="80">
        <f t="shared" si="2"/>
        <v>88.798911514391961</v>
      </c>
      <c r="Q19" s="82">
        <f t="shared" si="5"/>
        <v>14.221152434083349</v>
      </c>
    </row>
    <row r="20" spans="2:21">
      <c r="G20" s="76">
        <v>750</v>
      </c>
      <c r="H20" s="80">
        <f t="shared" si="0"/>
        <v>241.99841887594346</v>
      </c>
      <c r="I20" s="80">
        <f t="shared" si="1"/>
        <v>97.553362770616644</v>
      </c>
      <c r="J20" s="81">
        <f t="shared" si="4"/>
        <v>0.80623140616985423</v>
      </c>
      <c r="K20" s="80">
        <f t="shared" si="2"/>
        <v>89.13170220882995</v>
      </c>
      <c r="Q20" s="82">
        <f t="shared" si="5"/>
        <v>14.49134510657573</v>
      </c>
    </row>
    <row r="21" spans="2:21">
      <c r="Q21" s="82"/>
      <c r="U21" s="82"/>
    </row>
    <row r="22" spans="2:21" ht="15.75" thickBot="1">
      <c r="B22" s="77" t="s">
        <v>194</v>
      </c>
      <c r="Q22" s="82"/>
      <c r="U22" s="82"/>
    </row>
    <row r="23" spans="2:21">
      <c r="B23" s="83" t="s">
        <v>152</v>
      </c>
      <c r="C23" s="95">
        <v>30</v>
      </c>
      <c r="D23" s="85" t="s">
        <v>112</v>
      </c>
      <c r="G23" s="79" t="s">
        <v>192</v>
      </c>
      <c r="H23" s="79" t="s">
        <v>191</v>
      </c>
      <c r="I23" s="79" t="s">
        <v>20</v>
      </c>
      <c r="J23" s="79" t="s">
        <v>21</v>
      </c>
      <c r="K23" s="79" t="s">
        <v>147</v>
      </c>
      <c r="M23" s="6" t="s">
        <v>205</v>
      </c>
      <c r="N23" s="78">
        <v>1</v>
      </c>
      <c r="O23" s="76" t="s">
        <v>206</v>
      </c>
      <c r="Q23" s="82"/>
      <c r="U23" s="82"/>
    </row>
    <row r="24" spans="2:21">
      <c r="B24" s="86" t="s">
        <v>153</v>
      </c>
      <c r="C24" s="96">
        <v>72</v>
      </c>
      <c r="D24" s="88" t="s">
        <v>80</v>
      </c>
      <c r="G24" s="76">
        <v>350</v>
      </c>
      <c r="H24" s="76">
        <f t="shared" ref="H24:H40" si="6">(450240*$C$36/(G24+IF(C$34&gt;0,C$34,C$13)))^0.5</f>
        <v>327.94981323367148</v>
      </c>
      <c r="I24" s="80">
        <f t="shared" ref="I24:I40" si="7">G24*H24*H24/450240</f>
        <v>83.606250000000003</v>
      </c>
      <c r="J24" s="81">
        <f t="shared" si="4"/>
        <v>0.50987222206727534</v>
      </c>
      <c r="K24" s="80">
        <f t="shared" ref="K24:K40" si="8">I24/$C$36*100</f>
        <v>79.545454545454547</v>
      </c>
      <c r="M24" s="76" t="s">
        <v>202</v>
      </c>
      <c r="N24" s="78">
        <v>16</v>
      </c>
      <c r="O24" s="76" t="s">
        <v>7</v>
      </c>
      <c r="Q24" s="82">
        <f>G24*H24/($N$27+7910/3*$O$11)*$N$23</f>
        <v>9.1645330034152366</v>
      </c>
    </row>
    <row r="25" spans="2:21">
      <c r="B25" s="86" t="s">
        <v>154</v>
      </c>
      <c r="C25" s="97">
        <v>7.25</v>
      </c>
      <c r="D25" s="88" t="s">
        <v>112</v>
      </c>
      <c r="G25" s="76">
        <v>375</v>
      </c>
      <c r="H25" s="76">
        <f t="shared" si="6"/>
        <v>319.01216884465043</v>
      </c>
      <c r="I25" s="80">
        <f t="shared" si="7"/>
        <v>84.762096774193552</v>
      </c>
      <c r="J25" s="81">
        <f t="shared" si="4"/>
        <v>0.53140353285689368</v>
      </c>
      <c r="K25" s="80">
        <f t="shared" si="8"/>
        <v>80.645161290322577</v>
      </c>
      <c r="M25" s="76" t="s">
        <v>167</v>
      </c>
      <c r="N25" s="78">
        <v>261.5</v>
      </c>
      <c r="O25" s="76" t="s">
        <v>9</v>
      </c>
      <c r="Q25" s="82">
        <f t="shared" ref="Q25:Q40" si="9">G25*H25/($N$27+7910/3*$O$11)*$N$23</f>
        <v>9.5515405707978989</v>
      </c>
    </row>
    <row r="26" spans="2:21">
      <c r="B26" s="86"/>
      <c r="C26" s="87"/>
      <c r="D26" s="88"/>
      <c r="G26" s="76">
        <v>400</v>
      </c>
      <c r="H26" s="76">
        <f t="shared" si="6"/>
        <v>310.76756587520521</v>
      </c>
      <c r="I26" s="80">
        <f t="shared" si="7"/>
        <v>85.800000000000011</v>
      </c>
      <c r="J26" s="81">
        <f t="shared" si="4"/>
        <v>0.55218117603981032</v>
      </c>
      <c r="K26" s="80">
        <f t="shared" si="8"/>
        <v>81.632653061224502</v>
      </c>
      <c r="M26" s="76" t="s">
        <v>198</v>
      </c>
      <c r="N26" s="78">
        <v>605</v>
      </c>
      <c r="O26" s="76" t="s">
        <v>40</v>
      </c>
      <c r="Q26" s="82">
        <f t="shared" si="9"/>
        <v>9.9250015840513335</v>
      </c>
    </row>
    <row r="27" spans="2:21">
      <c r="B27" s="86" t="s">
        <v>155</v>
      </c>
      <c r="C27" s="78">
        <v>600</v>
      </c>
      <c r="D27" s="88" t="s">
        <v>8</v>
      </c>
      <c r="E27" s="81">
        <f>C27/C24</f>
        <v>8.3333333333333339</v>
      </c>
      <c r="F27" s="76" t="s">
        <v>200</v>
      </c>
      <c r="G27" s="76">
        <v>425</v>
      </c>
      <c r="H27" s="76">
        <f t="shared" si="6"/>
        <v>303.1308320828208</v>
      </c>
      <c r="I27" s="80">
        <f t="shared" si="7"/>
        <v>86.737135922330097</v>
      </c>
      <c r="J27" s="81">
        <f t="shared" si="4"/>
        <v>0.57227524713574474</v>
      </c>
      <c r="K27" s="80">
        <f t="shared" si="8"/>
        <v>82.524271844660191</v>
      </c>
      <c r="M27" s="98" t="s">
        <v>203</v>
      </c>
      <c r="N27" s="76">
        <f>N25*N26/N24</f>
        <v>9887.96875</v>
      </c>
      <c r="Q27" s="82">
        <f t="shared" si="9"/>
        <v>10.286175952376432</v>
      </c>
    </row>
    <row r="28" spans="2:21" ht="15.75">
      <c r="B28" s="86"/>
      <c r="C28" s="87"/>
      <c r="D28" s="88"/>
      <c r="G28" s="76">
        <v>450</v>
      </c>
      <c r="H28" s="76">
        <f t="shared" si="6"/>
        <v>296.03076416705971</v>
      </c>
      <c r="I28" s="80">
        <f t="shared" si="7"/>
        <v>87.587500000000006</v>
      </c>
      <c r="J28" s="81">
        <f t="shared" si="4"/>
        <v>0.59174593050451707</v>
      </c>
      <c r="K28" s="80">
        <f t="shared" si="8"/>
        <v>83.333333333333343</v>
      </c>
      <c r="M28" s="99" t="s">
        <v>204</v>
      </c>
      <c r="N28" s="100">
        <f>N26*N25/(N27+7910/3*O11)*N23</f>
        <v>12.631705014700195</v>
      </c>
      <c r="O28" s="99" t="s">
        <v>7</v>
      </c>
      <c r="Q28" s="82">
        <f t="shared" si="9"/>
        <v>10.636145440042734</v>
      </c>
    </row>
    <row r="29" spans="2:21">
      <c r="B29" s="86" t="s">
        <v>156</v>
      </c>
      <c r="C29" s="87">
        <f>IF(C27&gt;0,(450240*C36/(C27+IF(C34&gt;0,C34,C13)))^0.5,0)</f>
        <v>261.88412970492192</v>
      </c>
      <c r="D29" s="88" t="s">
        <v>9</v>
      </c>
      <c r="G29" s="76">
        <v>475</v>
      </c>
      <c r="H29" s="76">
        <f t="shared" si="6"/>
        <v>289.40731378860539</v>
      </c>
      <c r="I29" s="80">
        <f t="shared" si="7"/>
        <v>88.362610619469038</v>
      </c>
      <c r="J29" s="81">
        <f t="shared" si="4"/>
        <v>0.61064531827286583</v>
      </c>
      <c r="K29" s="80">
        <f t="shared" si="8"/>
        <v>84.070796460176993</v>
      </c>
      <c r="M29" s="76" t="s">
        <v>20</v>
      </c>
      <c r="N29" s="76">
        <f>N25*N25*N26/450240</f>
        <v>91.887129641968727</v>
      </c>
      <c r="Q29" s="82">
        <f t="shared" si="9"/>
        <v>10.975846360098977</v>
      </c>
    </row>
    <row r="30" spans="2:21">
      <c r="B30" s="86" t="s">
        <v>157</v>
      </c>
      <c r="C30" s="87">
        <f>C27*C29*C29/450240</f>
        <v>91.395652173913064</v>
      </c>
      <c r="D30" s="88" t="s">
        <v>151</v>
      </c>
      <c r="G30" s="76">
        <v>500</v>
      </c>
      <c r="H30" s="76">
        <f t="shared" si="6"/>
        <v>283.20943678618085</v>
      </c>
      <c r="I30" s="80">
        <f t="shared" si="7"/>
        <v>89.072033898305094</v>
      </c>
      <c r="J30" s="81">
        <f t="shared" si="4"/>
        <v>0.629018827261418</v>
      </c>
      <c r="K30" s="80">
        <f t="shared" si="8"/>
        <v>84.745762711864415</v>
      </c>
      <c r="M30" s="76" t="s">
        <v>21</v>
      </c>
      <c r="N30" s="76">
        <f>N25*N26/450240*2</f>
        <v>0.70276963397299219</v>
      </c>
      <c r="Q30" s="82">
        <f t="shared" si="9"/>
        <v>11.306095042467703</v>
      </c>
    </row>
    <row r="31" spans="2:21" ht="15.75" thickBot="1">
      <c r="B31" s="101" t="s">
        <v>158</v>
      </c>
      <c r="C31" s="92">
        <f>C30/C36*100</f>
        <v>86.956521739130451</v>
      </c>
      <c r="D31" s="93" t="s">
        <v>86</v>
      </c>
      <c r="G31" s="76">
        <v>525</v>
      </c>
      <c r="H31" s="76">
        <f t="shared" si="6"/>
        <v>277.39342844837091</v>
      </c>
      <c r="I31" s="80">
        <f t="shared" si="7"/>
        <v>89.723780487804888</v>
      </c>
      <c r="J31" s="81">
        <f t="shared" si="4"/>
        <v>0.64690631634414852</v>
      </c>
      <c r="K31" s="80">
        <f t="shared" si="8"/>
        <v>85.365853658536594</v>
      </c>
      <c r="Q31" s="82">
        <f t="shared" si="9"/>
        <v>11.627607917560718</v>
      </c>
    </row>
    <row r="32" spans="2:21">
      <c r="G32" s="76">
        <v>550</v>
      </c>
      <c r="H32" s="76">
        <f t="shared" si="6"/>
        <v>271.92162014080458</v>
      </c>
      <c r="I32" s="80">
        <f t="shared" si="7"/>
        <v>90.324609375000037</v>
      </c>
      <c r="J32" s="81">
        <f t="shared" si="4"/>
        <v>0.66434297742289683</v>
      </c>
      <c r="K32" s="80">
        <f t="shared" si="8"/>
        <v>85.937500000000028</v>
      </c>
      <c r="Q32" s="82">
        <f t="shared" si="9"/>
        <v>11.941017530811761</v>
      </c>
    </row>
    <row r="33" spans="2:17">
      <c r="G33" s="76">
        <v>575</v>
      </c>
      <c r="H33" s="76">
        <f t="shared" si="6"/>
        <v>266.76134810370348</v>
      </c>
      <c r="I33" s="80">
        <f t="shared" si="7"/>
        <v>90.880263157894731</v>
      </c>
      <c r="J33" s="81">
        <f t="shared" si="4"/>
        <v>0.68136005312557524</v>
      </c>
      <c r="K33" s="80">
        <f t="shared" si="8"/>
        <v>86.46616541353383</v>
      </c>
      <c r="Q33" s="82">
        <f t="shared" si="9"/>
        <v>12.246885442710353</v>
      </c>
    </row>
    <row r="34" spans="2:17">
      <c r="B34" s="76" t="s">
        <v>145</v>
      </c>
      <c r="C34" s="97">
        <v>90</v>
      </c>
      <c r="D34" s="76" t="s">
        <v>86</v>
      </c>
      <c r="G34" s="76">
        <v>600</v>
      </c>
      <c r="H34" s="76">
        <f t="shared" si="6"/>
        <v>261.88412970492192</v>
      </c>
      <c r="I34" s="80">
        <f t="shared" si="7"/>
        <v>91.395652173913064</v>
      </c>
      <c r="J34" s="81">
        <f t="shared" si="4"/>
        <v>0.6979854203222865</v>
      </c>
      <c r="K34" s="80">
        <f t="shared" si="8"/>
        <v>86.956521739130451</v>
      </c>
      <c r="Q34" s="82">
        <f t="shared" si="9"/>
        <v>12.545712717023118</v>
      </c>
    </row>
    <row r="35" spans="2:17">
      <c r="G35" s="76">
        <v>625</v>
      </c>
      <c r="H35" s="76">
        <f t="shared" si="6"/>
        <v>257.26499956270771</v>
      </c>
      <c r="I35" s="80">
        <f t="shared" si="7"/>
        <v>91.875</v>
      </c>
      <c r="J35" s="81">
        <f t="shared" si="4"/>
        <v>0.71424406861537104</v>
      </c>
      <c r="K35" s="80">
        <f t="shared" si="8"/>
        <v>87.412587412587399</v>
      </c>
      <c r="Q35" s="82">
        <f t="shared" si="9"/>
        <v>12.837948521258074</v>
      </c>
    </row>
    <row r="36" spans="2:17">
      <c r="B36" s="76" t="s">
        <v>159</v>
      </c>
      <c r="C36" s="76">
        <f>IF(C40&gt;0,C40,C19)/100*C38</f>
        <v>105.105</v>
      </c>
      <c r="D36" s="76" t="s">
        <v>151</v>
      </c>
      <c r="G36" s="76">
        <v>650</v>
      </c>
      <c r="H36" s="76">
        <f t="shared" si="6"/>
        <v>252.88197011809842</v>
      </c>
      <c r="I36" s="80">
        <f t="shared" si="7"/>
        <v>92.321959459459478</v>
      </c>
      <c r="J36" s="81">
        <f t="shared" si="4"/>
        <v>0.73015849581007453</v>
      </c>
      <c r="K36" s="80">
        <f t="shared" si="8"/>
        <v>87.837837837837853</v>
      </c>
      <c r="Q36" s="82">
        <f t="shared" si="9"/>
        <v>13.123997234923955</v>
      </c>
    </row>
    <row r="37" spans="2:17">
      <c r="G37" s="76">
        <v>675</v>
      </c>
      <c r="H37" s="76">
        <f t="shared" si="6"/>
        <v>248.71558999363583</v>
      </c>
      <c r="I37" s="80">
        <f t="shared" si="7"/>
        <v>92.739705882352951</v>
      </c>
      <c r="J37" s="81">
        <f t="shared" si="4"/>
        <v>0.7457490371610882</v>
      </c>
      <c r="K37" s="80">
        <f t="shared" si="8"/>
        <v>88.235294117647072</v>
      </c>
      <c r="Q37" s="82">
        <f t="shared" si="9"/>
        <v>13.404224367465456</v>
      </c>
    </row>
    <row r="38" spans="2:17">
      <c r="B38" s="76" t="s">
        <v>160</v>
      </c>
      <c r="C38" s="76">
        <f>(IF(C23&gt;0,C23,C3)-IF(C25&gt;0,C25,C5))*IF(C24&gt;0,C24,C4)/12</f>
        <v>136.5</v>
      </c>
      <c r="D38" s="76" t="s">
        <v>151</v>
      </c>
      <c r="G38" s="76">
        <v>700</v>
      </c>
      <c r="H38" s="76">
        <f t="shared" si="6"/>
        <v>244.74857985649714</v>
      </c>
      <c r="I38" s="80">
        <f t="shared" si="7"/>
        <v>93.13101265822786</v>
      </c>
      <c r="J38" s="81">
        <f t="shared" si="4"/>
        <v>0.7610341413448295</v>
      </c>
      <c r="K38" s="80">
        <f t="shared" si="8"/>
        <v>88.607594936708864</v>
      </c>
      <c r="Q38" s="82">
        <f t="shared" si="9"/>
        <v>13.678961518637527</v>
      </c>
    </row>
    <row r="39" spans="2:17">
      <c r="G39" s="76">
        <v>725</v>
      </c>
      <c r="H39" s="76">
        <f t="shared" si="6"/>
        <v>240.96553020809068</v>
      </c>
      <c r="I39" s="80">
        <f t="shared" si="7"/>
        <v>93.498312883435574</v>
      </c>
      <c r="J39" s="81">
        <f t="shared" si="4"/>
        <v>0.77603060323767648</v>
      </c>
      <c r="K39" s="80">
        <f t="shared" si="8"/>
        <v>88.957055214723908</v>
      </c>
      <c r="Q39" s="82">
        <f t="shared" si="9"/>
        <v>13.948510562502328</v>
      </c>
    </row>
    <row r="40" spans="2:17">
      <c r="B40" s="76" t="s">
        <v>161</v>
      </c>
      <c r="C40" s="97">
        <v>77</v>
      </c>
      <c r="D40" s="76" t="s">
        <v>86</v>
      </c>
      <c r="G40" s="76">
        <v>750</v>
      </c>
      <c r="H40" s="76">
        <f t="shared" si="6"/>
        <v>237.35264902671722</v>
      </c>
      <c r="I40" s="80">
        <f t="shared" si="7"/>
        <v>93.84375</v>
      </c>
      <c r="J40" s="81">
        <f t="shared" si="4"/>
        <v>0.79075376141630205</v>
      </c>
      <c r="K40" s="80">
        <f t="shared" si="8"/>
        <v>89.285714285714278</v>
      </c>
      <c r="Q40" s="82">
        <f t="shared" si="9"/>
        <v>14.213147197334953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5:K47"/>
  <sheetViews>
    <sheetView workbookViewId="0">
      <selection activeCell="D23" sqref="D23"/>
    </sheetView>
  </sheetViews>
  <sheetFormatPr defaultRowHeight="12.75"/>
  <cols>
    <col min="1" max="5" width="9.140625" style="1"/>
    <col min="6" max="6" width="12.42578125" style="1" bestFit="1" customWidth="1"/>
    <col min="7" max="7" width="14.7109375" style="5" customWidth="1"/>
    <col min="8" max="8" width="13.140625" style="5" customWidth="1"/>
    <col min="9" max="9" width="13.28515625" style="5" customWidth="1"/>
    <col min="10" max="10" width="12.42578125" style="5" customWidth="1"/>
    <col min="11" max="16384" width="9.140625" style="1"/>
  </cols>
  <sheetData>
    <row r="5" spans="2:11">
      <c r="H5" s="105" t="s">
        <v>208</v>
      </c>
      <c r="I5" s="106"/>
      <c r="J5" s="106"/>
      <c r="K5" s="5"/>
    </row>
    <row r="6" spans="2:11">
      <c r="B6" s="1" t="s">
        <v>214</v>
      </c>
      <c r="H6" s="106" t="s">
        <v>209</v>
      </c>
      <c r="I6" s="106" t="s">
        <v>210</v>
      </c>
      <c r="J6" s="106" t="s">
        <v>192</v>
      </c>
      <c r="K6" s="106"/>
    </row>
    <row r="7" spans="2:11">
      <c r="H7" s="106">
        <v>-450240</v>
      </c>
      <c r="I7" s="106" t="s">
        <v>211</v>
      </c>
      <c r="J7" s="106" t="s">
        <v>212</v>
      </c>
      <c r="K7" s="106" t="s">
        <v>213</v>
      </c>
    </row>
    <row r="8" spans="2:11">
      <c r="C8" s="7" t="s">
        <v>31</v>
      </c>
      <c r="D8" s="7" t="s">
        <v>199</v>
      </c>
      <c r="E8" s="7" t="s">
        <v>215</v>
      </c>
      <c r="F8" s="7" t="s">
        <v>20</v>
      </c>
      <c r="H8" s="106"/>
      <c r="I8" s="106">
        <v>3</v>
      </c>
      <c r="J8" s="106"/>
      <c r="K8" s="106"/>
    </row>
    <row r="9" spans="2:11" ht="13.5" thickBot="1">
      <c r="C9" s="13" t="s">
        <v>8</v>
      </c>
      <c r="D9" s="13" t="s">
        <v>9</v>
      </c>
      <c r="E9" s="13" t="s">
        <v>217</v>
      </c>
      <c r="F9" s="13" t="s">
        <v>22</v>
      </c>
      <c r="H9" s="106"/>
      <c r="I9" s="106"/>
      <c r="J9" s="106"/>
      <c r="K9" s="106"/>
    </row>
    <row r="10" spans="2:11">
      <c r="B10" s="1" t="s">
        <v>47</v>
      </c>
      <c r="C10" s="107">
        <v>482</v>
      </c>
      <c r="D10" s="108">
        <v>287</v>
      </c>
      <c r="E10" s="2">
        <f>C10*D10*200/450240</f>
        <v>61.449004975124382</v>
      </c>
      <c r="F10" s="2">
        <f>C10*D10*D10/450240</f>
        <v>88.17932213930348</v>
      </c>
      <c r="H10" s="106">
        <f>$H$7</f>
        <v>-450240</v>
      </c>
      <c r="I10" s="106">
        <f>D10^2*C10^I8</f>
        <v>9223694457992</v>
      </c>
      <c r="J10" s="106">
        <f>D10^2</f>
        <v>82369</v>
      </c>
      <c r="K10" s="106">
        <f>D10^2*C10</f>
        <v>39701858</v>
      </c>
    </row>
    <row r="11" spans="2:11">
      <c r="B11" s="1" t="s">
        <v>48</v>
      </c>
      <c r="C11" s="109">
        <v>600</v>
      </c>
      <c r="D11" s="110">
        <v>261</v>
      </c>
      <c r="E11" s="2">
        <f>C11*D11*200/450240</f>
        <v>69.562899786780378</v>
      </c>
      <c r="F11" s="2">
        <f>C11*D11*D11/450240</f>
        <v>90.779584221748408</v>
      </c>
      <c r="H11" s="106">
        <f>$H$7</f>
        <v>-450240</v>
      </c>
      <c r="I11" s="106">
        <f>D11^2*C11^I8</f>
        <v>14714136000000</v>
      </c>
      <c r="J11" s="106">
        <f>D11^2</f>
        <v>68121</v>
      </c>
      <c r="K11" s="106">
        <f>D11^2*C11</f>
        <v>40872600</v>
      </c>
    </row>
    <row r="12" spans="2:11" ht="13.5" thickBot="1">
      <c r="B12" s="1" t="s">
        <v>49</v>
      </c>
      <c r="C12" s="111">
        <v>1000</v>
      </c>
      <c r="D12" s="112">
        <v>190</v>
      </c>
      <c r="E12" s="2">
        <f>C12*D12*200/450240</f>
        <v>84.399431414356783</v>
      </c>
      <c r="F12" s="2">
        <f>C12*D12*D12/450240</f>
        <v>80.179459843638952</v>
      </c>
      <c r="H12" s="106">
        <f>$H$7</f>
        <v>-450240</v>
      </c>
      <c r="I12" s="106">
        <f>D12^2*C12^I8</f>
        <v>36100000000000</v>
      </c>
      <c r="J12" s="106">
        <f>D12^2</f>
        <v>36100</v>
      </c>
      <c r="K12" s="106">
        <f>D12^2*C12</f>
        <v>36100000</v>
      </c>
    </row>
    <row r="13" spans="2:11">
      <c r="H13" s="106"/>
      <c r="I13" s="106"/>
      <c r="J13" s="106"/>
      <c r="K13" s="106"/>
    </row>
    <row r="14" spans="2:11">
      <c r="H14" s="106"/>
      <c r="I14" s="106">
        <f>I10-I11</f>
        <v>-5490441542008</v>
      </c>
      <c r="J14" s="106">
        <f>J10-J11</f>
        <v>14248</v>
      </c>
      <c r="K14" s="106">
        <f>K10-K11</f>
        <v>-1170742</v>
      </c>
    </row>
    <row r="15" spans="2:11">
      <c r="C15" s="1" t="s">
        <v>146</v>
      </c>
      <c r="D15" s="5">
        <f>(-K10-J10*D17-I10*D16)/H10</f>
        <v>177.67231419931858</v>
      </c>
      <c r="E15" s="6" t="s">
        <v>22</v>
      </c>
      <c r="H15" s="106"/>
      <c r="I15" s="106">
        <f>I12-I10</f>
        <v>26876305542008</v>
      </c>
      <c r="J15" s="106">
        <f>J12-J10</f>
        <v>-46269</v>
      </c>
      <c r="K15" s="106">
        <f>K12-K10</f>
        <v>-3601858</v>
      </c>
    </row>
    <row r="16" spans="2:11">
      <c r="C16" s="1" t="s">
        <v>210</v>
      </c>
      <c r="D16" s="5">
        <f>(-K17-J17*D17)/I17</f>
        <v>8.1839652436467284E-7</v>
      </c>
      <c r="E16" s="6" t="s">
        <v>216</v>
      </c>
      <c r="H16" s="106"/>
      <c r="I16" s="106"/>
      <c r="J16" s="106"/>
      <c r="K16" s="106"/>
    </row>
    <row r="17" spans="3:11">
      <c r="C17" s="1" t="s">
        <v>192</v>
      </c>
      <c r="D17" s="5">
        <f>-K19/J19</f>
        <v>397.53651566583119</v>
      </c>
      <c r="E17" s="6" t="s">
        <v>8</v>
      </c>
      <c r="H17" s="106"/>
      <c r="I17" s="106">
        <f>I15/$I$15*$I$14</f>
        <v>-5490441542008</v>
      </c>
      <c r="J17" s="106">
        <f>J15/$I$15*$I$14</f>
        <v>9452.0892877224069</v>
      </c>
      <c r="K17" s="106">
        <f>K15/$I$15*$I$14</f>
        <v>735807.6340032689</v>
      </c>
    </row>
    <row r="18" spans="3:11">
      <c r="H18" s="106"/>
      <c r="I18" s="106"/>
      <c r="J18" s="106"/>
      <c r="K18" s="106"/>
    </row>
    <row r="19" spans="3:11">
      <c r="H19" s="106"/>
      <c r="I19" s="106"/>
      <c r="J19" s="106">
        <f>J14-J17</f>
        <v>4795.9107122775931</v>
      </c>
      <c r="K19" s="106">
        <f>K14-K17</f>
        <v>-1906549.634003269</v>
      </c>
    </row>
    <row r="20" spans="3:11">
      <c r="K20" s="5"/>
    </row>
    <row r="21" spans="3:11">
      <c r="K21" s="5"/>
    </row>
    <row r="22" spans="3:11">
      <c r="C22" s="7" t="s">
        <v>31</v>
      </c>
      <c r="D22" s="7" t="s">
        <v>199</v>
      </c>
      <c r="E22" s="7" t="s">
        <v>215</v>
      </c>
      <c r="F22" s="7" t="s">
        <v>20</v>
      </c>
    </row>
    <row r="23" spans="3:11">
      <c r="C23" s="1">
        <v>400</v>
      </c>
      <c r="D23" s="2">
        <f>(($D$15*450240)/(C23+$D$17+$D$16*C23^$I$8))^0.5</f>
        <v>306.79229847904821</v>
      </c>
      <c r="E23" s="2">
        <f>C23*D23*2/450240*100</f>
        <v>54.511780113548014</v>
      </c>
      <c r="F23" s="2">
        <f>C23*D23*D23/450240</f>
        <v>83.618971576099327</v>
      </c>
    </row>
    <row r="24" spans="3:11">
      <c r="C24" s="1">
        <v>425</v>
      </c>
      <c r="D24" s="2">
        <f t="shared" ref="D24:D47" si="0">(($D$15*450240)/(C24+$D$17+$D$16*C24^$I$8))^0.5</f>
        <v>300.58801863850653</v>
      </c>
      <c r="E24" s="2">
        <f t="shared" ref="E24:E47" si="1">C24*D24*2/450240*100</f>
        <v>56.747471535787696</v>
      </c>
      <c r="F24" s="2">
        <f t="shared" ref="F24:F47" si="2">C24*D24*D24/450240</f>
        <v>85.288050158437358</v>
      </c>
    </row>
    <row r="25" spans="3:11">
      <c r="C25" s="1">
        <v>450</v>
      </c>
      <c r="D25" s="2">
        <f t="shared" si="0"/>
        <v>294.53700666851387</v>
      </c>
      <c r="E25" s="2">
        <f t="shared" si="1"/>
        <v>58.876000799942808</v>
      </c>
      <c r="F25" s="2">
        <f t="shared" si="2"/>
        <v>86.705805201140905</v>
      </c>
    </row>
    <row r="26" spans="3:11">
      <c r="C26" s="1">
        <v>475</v>
      </c>
      <c r="D26" s="2">
        <f t="shared" si="0"/>
        <v>288.62952405968605</v>
      </c>
      <c r="E26" s="2">
        <f t="shared" si="1"/>
        <v>60.900419300084799</v>
      </c>
      <c r="F26" s="2">
        <f t="shared" si="2"/>
        <v>87.888295188093963</v>
      </c>
    </row>
    <row r="27" spans="3:11">
      <c r="C27" s="1">
        <v>500</v>
      </c>
      <c r="D27" s="2">
        <f t="shared" si="0"/>
        <v>282.85738033207105</v>
      </c>
      <c r="E27" s="2">
        <f t="shared" si="1"/>
        <v>62.823689661529635</v>
      </c>
      <c r="F27" s="2">
        <f t="shared" si="2"/>
        <v>88.850721402276449</v>
      </c>
    </row>
    <row r="28" spans="3:11">
      <c r="C28" s="1">
        <v>525</v>
      </c>
      <c r="D28" s="2">
        <f t="shared" si="0"/>
        <v>277.21369239891669</v>
      </c>
      <c r="E28" s="2">
        <f t="shared" si="1"/>
        <v>64.64871557810558</v>
      </c>
      <c r="F28" s="2">
        <f t="shared" si="2"/>
        <v>89.607545771270054</v>
      </c>
    </row>
    <row r="29" spans="3:11">
      <c r="C29" s="1">
        <v>550</v>
      </c>
      <c r="D29" s="2">
        <f t="shared" si="0"/>
        <v>271.69267786131815</v>
      </c>
      <c r="E29" s="2">
        <f t="shared" si="1"/>
        <v>66.378363905350469</v>
      </c>
      <c r="F29" s="2">
        <f t="shared" si="2"/>
        <v>90.172577207488658</v>
      </c>
    </row>
    <row r="30" spans="3:11">
      <c r="C30" s="1">
        <v>575</v>
      </c>
      <c r="D30" s="2">
        <f t="shared" si="0"/>
        <v>266.2894770975148</v>
      </c>
      <c r="E30" s="2">
        <f t="shared" si="1"/>
        <v>68.015480335408242</v>
      </c>
      <c r="F30" s="2">
        <f t="shared" si="2"/>
        <v>90.559033465260796</v>
      </c>
    </row>
    <row r="31" spans="3:11">
      <c r="C31" s="1">
        <v>600</v>
      </c>
      <c r="D31" s="2">
        <f t="shared" si="0"/>
        <v>261</v>
      </c>
      <c r="E31" s="2">
        <f t="shared" si="1"/>
        <v>69.562899786780392</v>
      </c>
      <c r="F31" s="2">
        <f t="shared" si="2"/>
        <v>90.779584221748408</v>
      </c>
    </row>
    <row r="32" spans="3:11">
      <c r="C32" s="1">
        <v>625</v>
      </c>
      <c r="D32" s="2">
        <f t="shared" si="0"/>
        <v>255.82079396944113</v>
      </c>
      <c r="E32" s="2">
        <f t="shared" si="1"/>
        <v>71.023452483520217</v>
      </c>
      <c r="F32" s="2">
        <f t="shared" si="2"/>
        <v>90.846380023925079</v>
      </c>
    </row>
    <row r="33" spans="3:6">
      <c r="C33" s="1">
        <v>650</v>
      </c>
      <c r="D33" s="2">
        <f t="shared" si="0"/>
        <v>250.74893035529917</v>
      </c>
      <c r="E33" s="2">
        <f t="shared" si="1"/>
        <v>72.399966564918472</v>
      </c>
      <c r="F33" s="2">
        <f t="shared" si="2"/>
        <v>90.771070869563644</v>
      </c>
    </row>
    <row r="34" spans="3:6">
      <c r="C34" s="1">
        <v>675</v>
      </c>
      <c r="D34" s="2">
        <f t="shared" si="0"/>
        <v>245.78190698281273</v>
      </c>
      <c r="E34" s="2">
        <f t="shared" si="1"/>
        <v>73.695267951936117</v>
      </c>
      <c r="F34" s="2">
        <f t="shared" si="2"/>
        <v>90.564817464181104</v>
      </c>
    </row>
    <row r="35" spans="3:6">
      <c r="C35" s="1">
        <v>700</v>
      </c>
      <c r="D35" s="2">
        <f t="shared" si="0"/>
        <v>240.91756475755699</v>
      </c>
      <c r="E35" s="2">
        <f t="shared" si="1"/>
        <v>74.912178096255289</v>
      </c>
      <c r="F35" s="2">
        <f t="shared" si="2"/>
        <v>90.238297588171122</v>
      </c>
    </row>
    <row r="36" spans="3:6">
      <c r="C36" s="1">
        <v>725</v>
      </c>
      <c r="D36" s="2">
        <f t="shared" si="0"/>
        <v>236.15401661682273</v>
      </c>
      <c r="E36" s="2">
        <f t="shared" si="1"/>
        <v>76.053510148896791</v>
      </c>
      <c r="F36" s="2">
        <f t="shared" si="2"/>
        <v>89.801709497351339</v>
      </c>
    </row>
    <row r="37" spans="3:6">
      <c r="C37" s="1">
        <v>750</v>
      </c>
      <c r="D37" s="2">
        <f t="shared" si="0"/>
        <v>231.48958732015134</v>
      </c>
      <c r="E37" s="2">
        <f t="shared" si="1"/>
        <v>77.122064005913955</v>
      </c>
      <c r="F37" s="2">
        <f t="shared" si="2"/>
        <v>89.264773850036605</v>
      </c>
    </row>
    <row r="38" spans="3:6">
      <c r="C38" s="1">
        <v>775</v>
      </c>
      <c r="D38" s="2">
        <f t="shared" si="0"/>
        <v>226.92276275341717</v>
      </c>
      <c r="E38" s="2">
        <f t="shared" si="1"/>
        <v>78.120620617403304</v>
      </c>
      <c r="F38" s="2">
        <f t="shared" si="2"/>
        <v>88.6367352925636</v>
      </c>
    </row>
    <row r="39" spans="3:6">
      <c r="C39" s="1">
        <v>800</v>
      </c>
      <c r="D39" s="2">
        <f t="shared" si="0"/>
        <v>222.45214757222158</v>
      </c>
      <c r="E39" s="2">
        <f t="shared" si="1"/>
        <v>79.051935882097226</v>
      </c>
      <c r="F39" s="2">
        <f t="shared" si="2"/>
        <v>87.92636453357045</v>
      </c>
    </row>
    <row r="40" spans="3:6">
      <c r="C40" s="1">
        <v>825</v>
      </c>
      <c r="D40" s="2">
        <f t="shared" si="0"/>
        <v>218.07643013871265</v>
      </c>
      <c r="E40" s="2">
        <f t="shared" si="1"/>
        <v>79.91873439251863</v>
      </c>
      <c r="F40" s="2">
        <f t="shared" si="2"/>
        <v>87.141961487622098</v>
      </c>
    </row>
    <row r="41" spans="3:6">
      <c r="C41" s="1">
        <v>850</v>
      </c>
      <c r="D41" s="2">
        <f t="shared" si="0"/>
        <v>213.79435381687389</v>
      </c>
      <c r="E41" s="2">
        <f t="shared" si="1"/>
        <v>80.723703244644113</v>
      </c>
      <c r="F41" s="2">
        <f t="shared" si="2"/>
        <v>86.291359864468859</v>
      </c>
    </row>
    <row r="42" spans="3:6">
      <c r="C42" s="1">
        <v>875</v>
      </c>
      <c r="D42" s="2">
        <f t="shared" si="0"/>
        <v>209.60469378888882</v>
      </c>
      <c r="E42" s="2">
        <f t="shared" si="1"/>
        <v>81.469486080880287</v>
      </c>
      <c r="F42" s="2">
        <f t="shared" si="2"/>
        <v>85.381933415605261</v>
      </c>
    </row>
    <row r="43" spans="3:6">
      <c r="C43" s="1">
        <v>900</v>
      </c>
      <c r="D43" s="2">
        <f t="shared" si="0"/>
        <v>205.50623864228214</v>
      </c>
      <c r="E43" s="2">
        <f t="shared" si="1"/>
        <v>82.158677495581884</v>
      </c>
      <c r="F43" s="2">
        <f t="shared" si="2"/>
        <v>84.420603919706721</v>
      </c>
    </row>
    <row r="44" spans="3:6">
      <c r="C44" s="1">
        <v>925</v>
      </c>
      <c r="D44" s="2">
        <f t="shared" si="0"/>
        <v>201.49777605620056</v>
      </c>
      <c r="E44" s="2">
        <f t="shared" si="1"/>
        <v>82.793817898003525</v>
      </c>
      <c r="F44" s="2">
        <f t="shared" si="2"/>
        <v>83.413850888248803</v>
      </c>
    </row>
    <row r="45" spans="3:6">
      <c r="C45" s="1">
        <v>950</v>
      </c>
      <c r="D45" s="2">
        <f t="shared" si="0"/>
        <v>197.57808198684106</v>
      </c>
      <c r="E45" s="2">
        <f t="shared" si="1"/>
        <v>83.377388898142783</v>
      </c>
      <c r="F45" s="2">
        <f t="shared" si="2"/>
        <v>82.367722897829921</v>
      </c>
    </row>
    <row r="46" spans="3:6">
      <c r="C46" s="1">
        <v>975</v>
      </c>
      <c r="D46" s="2">
        <f t="shared" si="0"/>
        <v>193.7459128176333</v>
      </c>
      <c r="E46" s="2">
        <f t="shared" si="1"/>
        <v>83.91180925603787</v>
      </c>
      <c r="F46" s="2">
        <f t="shared" si="2"/>
        <v>81.287850402450943</v>
      </c>
    </row>
    <row r="47" spans="3:6">
      <c r="C47" s="1">
        <v>1000</v>
      </c>
      <c r="D47" s="2">
        <f t="shared" si="0"/>
        <v>189.99999999999997</v>
      </c>
      <c r="E47" s="2">
        <f t="shared" si="1"/>
        <v>84.399431414356769</v>
      </c>
      <c r="F47" s="2">
        <f t="shared" si="2"/>
        <v>80.179459843638938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R11"/>
  <sheetViews>
    <sheetView workbookViewId="0">
      <selection activeCell="E5" sqref="E5"/>
    </sheetView>
  </sheetViews>
  <sheetFormatPr defaultRowHeight="12.75"/>
  <cols>
    <col min="1" max="16384" width="9.140625" style="1"/>
  </cols>
  <sheetData>
    <row r="3" spans="1:18" ht="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.75" thickBot="1">
      <c r="A4" s="76"/>
      <c r="B4" s="77" t="s">
        <v>171</v>
      </c>
      <c r="C4" s="76"/>
      <c r="D4" s="76"/>
      <c r="E4" s="76"/>
      <c r="F4" s="76"/>
      <c r="G4" s="77" t="s">
        <v>172</v>
      </c>
      <c r="H4" s="76"/>
      <c r="I4" s="76"/>
      <c r="J4" s="76"/>
      <c r="K4" s="76"/>
      <c r="L4" s="77" t="s">
        <v>173</v>
      </c>
      <c r="M4" s="76"/>
      <c r="N4" s="76"/>
      <c r="O4" s="76"/>
      <c r="P4" s="76"/>
      <c r="Q4" s="76"/>
      <c r="R4" s="76"/>
    </row>
    <row r="5" spans="1:18" ht="15">
      <c r="A5" s="76"/>
      <c r="B5" s="83" t="s">
        <v>162</v>
      </c>
      <c r="C5" s="84"/>
      <c r="D5" s="84"/>
      <c r="E5" s="113">
        <v>845</v>
      </c>
      <c r="F5" s="85" t="s">
        <v>32</v>
      </c>
      <c r="G5" s="83" t="s">
        <v>168</v>
      </c>
      <c r="H5" s="84"/>
      <c r="I5" s="113">
        <v>21</v>
      </c>
      <c r="J5" s="85" t="s">
        <v>112</v>
      </c>
      <c r="K5" s="76"/>
      <c r="L5" s="83" t="s">
        <v>170</v>
      </c>
      <c r="M5" s="84"/>
      <c r="N5" s="84">
        <v>20</v>
      </c>
      <c r="O5" s="84" t="s">
        <v>169</v>
      </c>
      <c r="P5" s="114">
        <f t="shared" ref="P5:P10" si="0">1/N5*$E$4/36</f>
        <v>0</v>
      </c>
      <c r="Q5" s="85" t="s">
        <v>32</v>
      </c>
      <c r="R5" s="76"/>
    </row>
    <row r="6" spans="1:18" ht="15">
      <c r="A6" s="76"/>
      <c r="B6" s="86" t="s">
        <v>165</v>
      </c>
      <c r="C6" s="87"/>
      <c r="D6" s="87"/>
      <c r="E6" s="78">
        <v>20</v>
      </c>
      <c r="F6" s="88" t="s">
        <v>32</v>
      </c>
      <c r="G6" s="86" t="s">
        <v>164</v>
      </c>
      <c r="H6" s="87"/>
      <c r="I6" s="78">
        <v>20</v>
      </c>
      <c r="J6" s="88" t="s">
        <v>166</v>
      </c>
      <c r="K6" s="76"/>
      <c r="L6" s="86"/>
      <c r="M6" s="87"/>
      <c r="N6" s="87">
        <v>30</v>
      </c>
      <c r="O6" s="87"/>
      <c r="P6" s="115">
        <f t="shared" si="0"/>
        <v>0</v>
      </c>
      <c r="Q6" s="88"/>
      <c r="R6" s="76"/>
    </row>
    <row r="7" spans="1:18" ht="15">
      <c r="A7" s="76"/>
      <c r="B7" s="86" t="s">
        <v>164</v>
      </c>
      <c r="C7" s="87"/>
      <c r="D7" s="87"/>
      <c r="E7" s="78">
        <v>20</v>
      </c>
      <c r="F7" s="88" t="s">
        <v>166</v>
      </c>
      <c r="G7" s="86" t="s">
        <v>163</v>
      </c>
      <c r="H7" s="87"/>
      <c r="I7" s="78">
        <v>40</v>
      </c>
      <c r="J7" s="88" t="s">
        <v>166</v>
      </c>
      <c r="K7" s="76"/>
      <c r="L7" s="86"/>
      <c r="M7" s="87"/>
      <c r="N7" s="87">
        <v>40</v>
      </c>
      <c r="O7" s="87"/>
      <c r="P7" s="115">
        <f t="shared" si="0"/>
        <v>0</v>
      </c>
      <c r="Q7" s="88"/>
      <c r="R7" s="76"/>
    </row>
    <row r="8" spans="1:18" ht="15">
      <c r="A8" s="76"/>
      <c r="B8" s="86" t="s">
        <v>163</v>
      </c>
      <c r="C8" s="87"/>
      <c r="D8" s="87"/>
      <c r="E8" s="78">
        <v>50</v>
      </c>
      <c r="F8" s="88" t="s">
        <v>166</v>
      </c>
      <c r="G8" s="86"/>
      <c r="H8" s="87"/>
      <c r="I8" s="87"/>
      <c r="J8" s="88"/>
      <c r="K8" s="76"/>
      <c r="L8" s="86"/>
      <c r="M8" s="87"/>
      <c r="N8" s="87">
        <v>50</v>
      </c>
      <c r="O8" s="87"/>
      <c r="P8" s="115">
        <f t="shared" si="0"/>
        <v>0</v>
      </c>
      <c r="Q8" s="88"/>
      <c r="R8" s="76"/>
    </row>
    <row r="9" spans="1:18" ht="15">
      <c r="A9" s="76"/>
      <c r="B9" s="86"/>
      <c r="C9" s="87"/>
      <c r="D9" s="87"/>
      <c r="E9" s="87"/>
      <c r="F9" s="88"/>
      <c r="G9" s="86"/>
      <c r="H9" s="87"/>
      <c r="I9" s="87"/>
      <c r="J9" s="88"/>
      <c r="K9" s="76"/>
      <c r="L9" s="86"/>
      <c r="M9" s="87"/>
      <c r="N9" s="87">
        <v>60</v>
      </c>
      <c r="O9" s="87"/>
      <c r="P9" s="115">
        <f t="shared" si="0"/>
        <v>0</v>
      </c>
      <c r="Q9" s="88"/>
      <c r="R9" s="76"/>
    </row>
    <row r="10" spans="1:18" ht="15.75" thickBot="1">
      <c r="A10" s="76"/>
      <c r="B10" s="101" t="s">
        <v>167</v>
      </c>
      <c r="C10" s="92"/>
      <c r="D10" s="92"/>
      <c r="E10" s="92">
        <f>(52.74*E5/E6*(E8-E7))^0.5</f>
        <v>258.54970508588866</v>
      </c>
      <c r="F10" s="93" t="s">
        <v>9</v>
      </c>
      <c r="G10" s="101"/>
      <c r="H10" s="92"/>
      <c r="I10" s="92">
        <f>(1738*I7/I5*(I7-I6))^0.5</f>
        <v>257.3121136082089</v>
      </c>
      <c r="J10" s="93" t="s">
        <v>9</v>
      </c>
      <c r="K10" s="76"/>
      <c r="L10" s="101"/>
      <c r="M10" s="92"/>
      <c r="N10" s="92">
        <v>70</v>
      </c>
      <c r="O10" s="92"/>
      <c r="P10" s="116">
        <f t="shared" si="0"/>
        <v>0</v>
      </c>
      <c r="Q10" s="93"/>
      <c r="R10" s="76"/>
    </row>
    <row r="11" spans="1:18" ht="1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C2:AH72"/>
  <sheetViews>
    <sheetView workbookViewId="0">
      <selection activeCell="AC70" sqref="AC70"/>
    </sheetView>
  </sheetViews>
  <sheetFormatPr defaultRowHeight="12.75"/>
  <cols>
    <col min="1" max="26" width="9.140625" style="1"/>
    <col min="27" max="27" width="9.7109375" style="1" customWidth="1"/>
    <col min="28" max="28" width="14.7109375" style="1" customWidth="1"/>
    <col min="29" max="34" width="15" style="1" customWidth="1"/>
    <col min="35" max="16384" width="9.140625" style="1"/>
  </cols>
  <sheetData>
    <row r="2" spans="3:16">
      <c r="C2" s="102" t="s">
        <v>201</v>
      </c>
    </row>
    <row r="3" spans="3:16">
      <c r="C3" s="120" t="s">
        <v>146</v>
      </c>
      <c r="E3" s="103">
        <v>97</v>
      </c>
      <c r="F3" s="120" t="s">
        <v>22</v>
      </c>
      <c r="H3" s="120" t="s">
        <v>231</v>
      </c>
      <c r="I3" s="73">
        <f>C18*D18^2/450240</f>
        <v>36.60377358490566</v>
      </c>
      <c r="J3" s="120" t="s">
        <v>22</v>
      </c>
    </row>
    <row r="4" spans="3:16">
      <c r="C4" s="1" t="s">
        <v>145</v>
      </c>
      <c r="E4" s="103">
        <v>400</v>
      </c>
      <c r="F4" s="1" t="s">
        <v>185</v>
      </c>
      <c r="H4" s="120" t="s">
        <v>230</v>
      </c>
      <c r="I4" s="73">
        <f>C30*D30*D30/450240</f>
        <v>49.256762995106655</v>
      </c>
      <c r="J4" s="120" t="s">
        <v>22</v>
      </c>
    </row>
    <row r="5" spans="3:16">
      <c r="C5" s="120" t="s">
        <v>210</v>
      </c>
      <c r="E5" s="126">
        <v>7.9999999999999996E-7</v>
      </c>
    </row>
    <row r="6" spans="3:16">
      <c r="C6" s="1" t="s">
        <v>186</v>
      </c>
      <c r="E6" s="103">
        <v>7.62</v>
      </c>
      <c r="F6" s="1" t="s">
        <v>32</v>
      </c>
      <c r="H6" s="1" t="s">
        <v>187</v>
      </c>
      <c r="I6" s="1">
        <f>PI()*(E6/2)^2</f>
        <v>45.603673118774793</v>
      </c>
      <c r="J6" s="1" t="s">
        <v>188</v>
      </c>
    </row>
    <row r="8" spans="3:16">
      <c r="E8" s="1" t="s">
        <v>174</v>
      </c>
      <c r="F8" s="1" t="s">
        <v>175</v>
      </c>
      <c r="G8" s="1" t="s">
        <v>176</v>
      </c>
      <c r="H8" s="1" t="s">
        <v>177</v>
      </c>
      <c r="I8" s="1" t="s">
        <v>178</v>
      </c>
      <c r="J8" s="1" t="s">
        <v>179</v>
      </c>
      <c r="K8" s="1" t="s">
        <v>180</v>
      </c>
    </row>
    <row r="10" spans="3:16">
      <c r="C10" s="1" t="s">
        <v>182</v>
      </c>
      <c r="D10" s="1" t="s">
        <v>181</v>
      </c>
      <c r="E10" s="103">
        <v>500</v>
      </c>
      <c r="F10" s="103">
        <v>170</v>
      </c>
      <c r="G10" s="103">
        <v>50</v>
      </c>
      <c r="H10" s="103">
        <v>5</v>
      </c>
      <c r="I10" s="103">
        <v>15</v>
      </c>
      <c r="J10" s="103">
        <v>9</v>
      </c>
      <c r="K10" s="103">
        <v>4</v>
      </c>
    </row>
    <row r="11" spans="3:16">
      <c r="C11" s="1" t="s">
        <v>183</v>
      </c>
      <c r="D11" s="1" t="s">
        <v>96</v>
      </c>
      <c r="E11" s="103">
        <v>7.8</v>
      </c>
      <c r="F11" s="103">
        <v>2</v>
      </c>
      <c r="G11" s="103">
        <v>2</v>
      </c>
      <c r="H11" s="103">
        <v>1.2</v>
      </c>
      <c r="I11" s="103">
        <v>0.9</v>
      </c>
      <c r="J11" s="103">
        <v>1</v>
      </c>
      <c r="K11" s="103">
        <v>1</v>
      </c>
    </row>
    <row r="13" spans="3:16">
      <c r="C13" s="1" t="s">
        <v>184</v>
      </c>
      <c r="D13" s="1" t="s">
        <v>167</v>
      </c>
    </row>
    <row r="14" spans="3:16">
      <c r="C14" s="7" t="s">
        <v>185</v>
      </c>
      <c r="D14" s="7" t="s">
        <v>9</v>
      </c>
      <c r="E14" s="125" t="s">
        <v>7</v>
      </c>
      <c r="N14" s="1" t="s">
        <v>189</v>
      </c>
      <c r="O14" s="1" t="s">
        <v>34</v>
      </c>
      <c r="P14" s="1" t="s">
        <v>190</v>
      </c>
    </row>
    <row r="16" spans="3:16">
      <c r="C16" s="1">
        <v>200</v>
      </c>
      <c r="D16" s="73">
        <f>(450240*$E$3/($E$4+C16+$E$5*C16^3))^0.5</f>
        <v>268.36650401071677</v>
      </c>
      <c r="E16" s="73">
        <f>100*($N16/(2*E$11*$I$6))*LOG((E$11*$O16^2+(E$10*1000))/(E$10*1000),2.7182818)/2.54</f>
        <v>7.1426443848776555E-2</v>
      </c>
      <c r="F16" s="73">
        <f t="shared" ref="F16:K31" si="0">100*($N16/(2*F$11*$I$6))*LOG((F$11*$O16^2+(F$10*1000))/(F$10*1000),2.7182818)/2.54</f>
        <v>0.21259831797734477</v>
      </c>
      <c r="G16" s="73">
        <f t="shared" si="0"/>
        <v>0.66539817029456461</v>
      </c>
      <c r="H16" s="73">
        <f t="shared" si="0"/>
        <v>4.4786812184082523</v>
      </c>
      <c r="I16" s="73">
        <f t="shared" si="0"/>
        <v>2.1043889024241142</v>
      </c>
      <c r="J16" s="73">
        <f t="shared" si="0"/>
        <v>3.1192050710694836</v>
      </c>
      <c r="K16" s="73">
        <f t="shared" si="0"/>
        <v>5.5166845613717719</v>
      </c>
      <c r="N16" s="1">
        <f>C16*0.065</f>
        <v>13</v>
      </c>
      <c r="O16" s="3">
        <f>D16*12*2.54/100</f>
        <v>81.798110422466465</v>
      </c>
      <c r="P16" s="2">
        <f>C16*D16*D16/450240</f>
        <v>31.992084432717689</v>
      </c>
    </row>
    <row r="17" spans="3:16">
      <c r="C17" s="1">
        <f>C16+25</f>
        <v>225</v>
      </c>
      <c r="D17" s="73">
        <f t="shared" ref="D17:D44" si="1">(450240*$E$3/($E$4+C17+$E$5*C17^3))^0.5</f>
        <v>262.43680861351686</v>
      </c>
      <c r="E17" s="73">
        <f t="shared" ref="E17:K44" si="2">100*($N17/(2*E$11*$I$6))*LOG((E$11*$O17^2+(E$10*1000))/(E$10*1000),2.7182818)/2.54</f>
        <v>7.7004795700320761E-2</v>
      </c>
      <c r="F17" s="73">
        <f t="shared" si="0"/>
        <v>0.22909067510090067</v>
      </c>
      <c r="G17" s="73">
        <f t="shared" si="0"/>
        <v>0.71931291938146658</v>
      </c>
      <c r="H17" s="73">
        <f t="shared" si="0"/>
        <v>4.8948920059985497</v>
      </c>
      <c r="I17" s="73">
        <f t="shared" si="0"/>
        <v>2.2790704688606458</v>
      </c>
      <c r="J17" s="73">
        <f t="shared" si="0"/>
        <v>3.3903490238920324</v>
      </c>
      <c r="K17" s="73">
        <f t="shared" si="0"/>
        <v>6.0311964484949705</v>
      </c>
      <c r="N17" s="1">
        <f t="shared" ref="N17:N44" si="3">C17*0.065</f>
        <v>14.625</v>
      </c>
      <c r="O17" s="3">
        <f t="shared" ref="O17:O44" si="4">D17*12*2.54/100</f>
        <v>79.990739265399938</v>
      </c>
      <c r="P17" s="2">
        <f t="shared" ref="P17:P44" si="5">C17*D17*D17/450240</f>
        <v>34.41818289341402</v>
      </c>
    </row>
    <row r="18" spans="3:16">
      <c r="C18" s="1">
        <f t="shared" ref="C18:C44" si="6">C17+25</f>
        <v>250</v>
      </c>
      <c r="D18" s="73">
        <f t="shared" si="1"/>
        <v>256.7526671243586</v>
      </c>
      <c r="E18" s="73">
        <f t="shared" si="2"/>
        <v>8.2056869059337553E-2</v>
      </c>
      <c r="F18" s="73">
        <f t="shared" si="0"/>
        <v>0.24400876262866972</v>
      </c>
      <c r="G18" s="73">
        <f t="shared" si="0"/>
        <v>0.76847742046123124</v>
      </c>
      <c r="H18" s="73">
        <f t="shared" si="0"/>
        <v>5.2850776560296273</v>
      </c>
      <c r="I18" s="73">
        <f t="shared" si="0"/>
        <v>2.439102836673599</v>
      </c>
      <c r="J18" s="73">
        <f t="shared" si="0"/>
        <v>3.6410381252228334</v>
      </c>
      <c r="K18" s="73">
        <f t="shared" si="0"/>
        <v>6.5139040339973615</v>
      </c>
      <c r="N18" s="1">
        <f t="shared" si="3"/>
        <v>16.25</v>
      </c>
      <c r="O18" s="3">
        <f t="shared" si="4"/>
        <v>78.258212939504503</v>
      </c>
      <c r="P18" s="2">
        <f t="shared" si="5"/>
        <v>36.60377358490566</v>
      </c>
    </row>
    <row r="19" spans="3:16">
      <c r="C19" s="1">
        <f t="shared" si="6"/>
        <v>275</v>
      </c>
      <c r="D19" s="73">
        <f t="shared" si="1"/>
        <v>251.28619997299481</v>
      </c>
      <c r="E19" s="73">
        <f t="shared" si="2"/>
        <v>8.6621587168776618E-2</v>
      </c>
      <c r="F19" s="73">
        <f t="shared" si="0"/>
        <v>0.25747090012321799</v>
      </c>
      <c r="G19" s="73">
        <f t="shared" si="0"/>
        <v>0.81321132686600084</v>
      </c>
      <c r="H19" s="73">
        <f t="shared" si="0"/>
        <v>5.6503258792989532</v>
      </c>
      <c r="I19" s="73">
        <f t="shared" si="0"/>
        <v>2.5854063658675224</v>
      </c>
      <c r="J19" s="73">
        <f t="shared" si="0"/>
        <v>3.8723809686614041</v>
      </c>
      <c r="K19" s="73">
        <f t="shared" si="0"/>
        <v>6.9661159148451803</v>
      </c>
      <c r="N19" s="1">
        <f t="shared" si="3"/>
        <v>17.875</v>
      </c>
      <c r="O19" s="3">
        <f t="shared" si="4"/>
        <v>76.59203375176881</v>
      </c>
      <c r="P19" s="2">
        <f t="shared" si="5"/>
        <v>38.567891417107951</v>
      </c>
    </row>
    <row r="20" spans="3:16">
      <c r="C20" s="1">
        <f t="shared" si="6"/>
        <v>300</v>
      </c>
      <c r="D20" s="73">
        <f t="shared" si="1"/>
        <v>246.01389826079395</v>
      </c>
      <c r="E20" s="73">
        <f t="shared" si="2"/>
        <v>9.0732904556626817E-2</v>
      </c>
      <c r="F20" s="73">
        <f t="shared" si="0"/>
        <v>0.26958017907187337</v>
      </c>
      <c r="G20" s="73">
        <f t="shared" si="0"/>
        <v>0.85379514741302065</v>
      </c>
      <c r="H20" s="73">
        <f t="shared" si="0"/>
        <v>5.9915933403204678</v>
      </c>
      <c r="I20" s="73">
        <f t="shared" si="0"/>
        <v>2.718791248610386</v>
      </c>
      <c r="J20" s="73">
        <f t="shared" si="0"/>
        <v>4.0853568815073782</v>
      </c>
      <c r="K20" s="73">
        <f t="shared" si="0"/>
        <v>7.3889822220157102</v>
      </c>
      <c r="N20" s="1">
        <f t="shared" si="3"/>
        <v>19.5</v>
      </c>
      <c r="O20" s="3">
        <f t="shared" si="4"/>
        <v>74.98503618989001</v>
      </c>
      <c r="P20" s="2">
        <f t="shared" si="5"/>
        <v>40.327050997782699</v>
      </c>
    </row>
    <row r="21" spans="3:16">
      <c r="C21" s="1">
        <f t="shared" si="6"/>
        <v>325</v>
      </c>
      <c r="D21" s="73">
        <f t="shared" si="1"/>
        <v>240.91590602897728</v>
      </c>
      <c r="E21" s="73">
        <f t="shared" si="2"/>
        <v>9.4420844034906165E-2</v>
      </c>
      <c r="F21" s="73">
        <f t="shared" si="0"/>
        <v>0.28042764352993022</v>
      </c>
      <c r="G21" s="73">
        <f t="shared" si="0"/>
        <v>0.8904784275472053</v>
      </c>
      <c r="H21" s="73">
        <f t="shared" si="0"/>
        <v>6.3097350773794663</v>
      </c>
      <c r="I21" s="73">
        <f t="shared" si="0"/>
        <v>2.8399806803765388</v>
      </c>
      <c r="J21" s="73">
        <f t="shared" si="0"/>
        <v>4.2808437423647376</v>
      </c>
      <c r="K21" s="73">
        <f t="shared" si="0"/>
        <v>7.783530260868079</v>
      </c>
      <c r="N21" s="1">
        <f t="shared" si="3"/>
        <v>21.125</v>
      </c>
      <c r="O21" s="3">
        <f t="shared" si="4"/>
        <v>73.431168157632271</v>
      </c>
      <c r="P21" s="2">
        <f t="shared" si="5"/>
        <v>41.895775536986889</v>
      </c>
    </row>
    <row r="22" spans="3:16">
      <c r="C22" s="1">
        <f t="shared" si="6"/>
        <v>350</v>
      </c>
      <c r="D22" s="73">
        <f t="shared" si="1"/>
        <v>235.97543617316052</v>
      </c>
      <c r="E22" s="73">
        <f t="shared" si="2"/>
        <v>9.7712307816974334E-2</v>
      </c>
      <c r="F22" s="73">
        <f t="shared" si="0"/>
        <v>0.29009477383250121</v>
      </c>
      <c r="G22" s="73">
        <f t="shared" si="0"/>
        <v>0.92348620585464969</v>
      </c>
      <c r="H22" s="73">
        <f t="shared" si="0"/>
        <v>6.6055285957242038</v>
      </c>
      <c r="I22" s="73">
        <f t="shared" si="0"/>
        <v>2.9496292545131144</v>
      </c>
      <c r="J22" s="73">
        <f t="shared" si="0"/>
        <v>4.4596403267316358</v>
      </c>
      <c r="K22" s="73">
        <f t="shared" si="0"/>
        <v>8.1506937302816524</v>
      </c>
      <c r="N22" s="1">
        <f t="shared" si="3"/>
        <v>22.75</v>
      </c>
      <c r="O22" s="3">
        <f t="shared" si="4"/>
        <v>71.925312945579336</v>
      </c>
      <c r="P22" s="2">
        <f t="shared" si="5"/>
        <v>43.287007522631647</v>
      </c>
    </row>
    <row r="23" spans="3:16">
      <c r="C23" s="1">
        <f t="shared" si="6"/>
        <v>375</v>
      </c>
      <c r="D23" s="73">
        <f t="shared" si="1"/>
        <v>231.17829031300903</v>
      </c>
      <c r="E23" s="73">
        <f t="shared" si="2"/>
        <v>0.1006317125975754</v>
      </c>
      <c r="F23" s="73">
        <f t="shared" si="0"/>
        <v>0.2986554285603496</v>
      </c>
      <c r="G23" s="73">
        <f t="shared" si="0"/>
        <v>0.95302410793595271</v>
      </c>
      <c r="H23" s="73">
        <f t="shared" si="0"/>
        <v>6.8796935736633129</v>
      </c>
      <c r="I23" s="73">
        <f t="shared" si="0"/>
        <v>3.0483375500413943</v>
      </c>
      <c r="J23" s="73">
        <f t="shared" si="0"/>
        <v>4.6224842242411599</v>
      </c>
      <c r="K23" s="73">
        <f t="shared" si="0"/>
        <v>8.4913366496309823</v>
      </c>
      <c r="N23" s="1">
        <f t="shared" si="3"/>
        <v>24.375</v>
      </c>
      <c r="O23" s="3">
        <f t="shared" si="4"/>
        <v>70.463142887405155</v>
      </c>
      <c r="P23" s="2">
        <f t="shared" si="5"/>
        <v>44.512428298279154</v>
      </c>
    </row>
    <row r="24" spans="3:16">
      <c r="C24" s="1">
        <f t="shared" si="6"/>
        <v>400</v>
      </c>
      <c r="D24" s="73">
        <f t="shared" si="1"/>
        <v>226.51246044498765</v>
      </c>
      <c r="E24" s="73">
        <f t="shared" si="2"/>
        <v>0.10320148616177442</v>
      </c>
      <c r="F24" s="73">
        <f t="shared" si="0"/>
        <v>0.30617736143568969</v>
      </c>
      <c r="G24" s="73">
        <f t="shared" si="0"/>
        <v>0.97928235372444195</v>
      </c>
      <c r="H24" s="73">
        <f t="shared" si="0"/>
        <v>7.1329079105983721</v>
      </c>
      <c r="I24" s="73">
        <f t="shared" si="0"/>
        <v>3.1366636571115012</v>
      </c>
      <c r="J24" s="73">
        <f t="shared" si="0"/>
        <v>4.7700661354267355</v>
      </c>
      <c r="K24" s="73">
        <f t="shared" si="0"/>
        <v>8.8062728693096428</v>
      </c>
      <c r="N24" s="1">
        <f t="shared" si="3"/>
        <v>26</v>
      </c>
      <c r="O24" s="3">
        <f t="shared" si="4"/>
        <v>69.040997943632235</v>
      </c>
      <c r="P24" s="2">
        <f t="shared" si="5"/>
        <v>45.582706766917283</v>
      </c>
    </row>
    <row r="25" spans="3:16">
      <c r="C25" s="1">
        <f t="shared" si="6"/>
        <v>425</v>
      </c>
      <c r="D25" s="73">
        <f t="shared" si="1"/>
        <v>221.96779566253036</v>
      </c>
      <c r="E25" s="73">
        <f t="shared" si="2"/>
        <v>0.10544245426598906</v>
      </c>
      <c r="F25" s="73">
        <f t="shared" si="0"/>
        <v>0.31272340220278527</v>
      </c>
      <c r="G25" s="73">
        <f t="shared" si="0"/>
        <v>1.0024388921085465</v>
      </c>
      <c r="H25" s="73">
        <f t="shared" si="0"/>
        <v>7.365820692797528</v>
      </c>
      <c r="I25" s="73">
        <f t="shared" si="0"/>
        <v>3.2151322207231781</v>
      </c>
      <c r="J25" s="73">
        <f t="shared" si="0"/>
        <v>4.9030411841347963</v>
      </c>
      <c r="K25" s="73">
        <f t="shared" si="0"/>
        <v>9.0962818563233512</v>
      </c>
      <c r="N25" s="1">
        <f t="shared" si="3"/>
        <v>27.625</v>
      </c>
      <c r="O25" s="3">
        <f t="shared" si="4"/>
        <v>67.655784117939263</v>
      </c>
      <c r="P25" s="2">
        <f t="shared" si="5"/>
        <v>46.507692524642863</v>
      </c>
    </row>
    <row r="26" spans="3:16">
      <c r="C26" s="1">
        <f t="shared" si="6"/>
        <v>450</v>
      </c>
      <c r="D26" s="73">
        <f t="shared" si="1"/>
        <v>217.53572122700186</v>
      </c>
      <c r="E26" s="73">
        <f t="shared" si="2"/>
        <v>0.10737414011006316</v>
      </c>
      <c r="F26" s="73">
        <f t="shared" si="0"/>
        <v>0.31835237047024323</v>
      </c>
      <c r="G26" s="73">
        <f t="shared" si="0"/>
        <v>1.0226618310833842</v>
      </c>
      <c r="H26" s="73">
        <f t="shared" si="0"/>
        <v>7.5790625406140553</v>
      </c>
      <c r="I26" s="73">
        <f t="shared" si="0"/>
        <v>3.2842414628791312</v>
      </c>
      <c r="J26" s="73">
        <f t="shared" si="0"/>
        <v>5.0220377553566111</v>
      </c>
      <c r="K26" s="73">
        <f t="shared" si="0"/>
        <v>9.3621213117518831</v>
      </c>
      <c r="N26" s="1">
        <f t="shared" si="3"/>
        <v>29.25</v>
      </c>
      <c r="O26" s="3">
        <f t="shared" si="4"/>
        <v>66.304887829990165</v>
      </c>
      <c r="P26" s="2">
        <f t="shared" si="5"/>
        <v>47.296565174991869</v>
      </c>
    </row>
    <row r="27" spans="3:16">
      <c r="C27" s="1">
        <f t="shared" si="6"/>
        <v>475</v>
      </c>
      <c r="D27" s="73">
        <f t="shared" si="1"/>
        <v>213.20900022932832</v>
      </c>
      <c r="E27" s="73">
        <f t="shared" si="2"/>
        <v>0.1090149939761909</v>
      </c>
      <c r="F27" s="73">
        <f t="shared" si="0"/>
        <v>0.3231197766918526</v>
      </c>
      <c r="G27" s="73">
        <f t="shared" si="0"/>
        <v>1.0401112977388893</v>
      </c>
      <c r="H27" s="73">
        <f t="shared" si="0"/>
        <v>7.7732537182762389</v>
      </c>
      <c r="I27" s="73">
        <f t="shared" si="0"/>
        <v>3.34446855362087</v>
      </c>
      <c r="J27" s="73">
        <f t="shared" si="0"/>
        <v>5.1276642742424743</v>
      </c>
      <c r="K27" s="73">
        <f t="shared" si="0"/>
        <v>9.6045370776951628</v>
      </c>
      <c r="N27" s="1">
        <f t="shared" si="3"/>
        <v>30.875</v>
      </c>
      <c r="O27" s="3">
        <f t="shared" si="4"/>
        <v>64.986103269899274</v>
      </c>
      <c r="P27" s="2">
        <f t="shared" si="5"/>
        <v>47.957948971493252</v>
      </c>
    </row>
    <row r="28" spans="3:16">
      <c r="C28" s="1">
        <f t="shared" si="6"/>
        <v>500</v>
      </c>
      <c r="D28" s="73">
        <f t="shared" si="1"/>
        <v>208.98153028437704</v>
      </c>
      <c r="E28" s="73">
        <f t="shared" si="2"/>
        <v>0.11038256705565251</v>
      </c>
      <c r="F28" s="73">
        <f t="shared" si="0"/>
        <v>0.32707835338827507</v>
      </c>
      <c r="G28" s="73">
        <f t="shared" si="0"/>
        <v>1.0549408368019551</v>
      </c>
      <c r="H28" s="73">
        <f t="shared" si="0"/>
        <v>7.9490103260134282</v>
      </c>
      <c r="I28" s="73">
        <f t="shared" si="0"/>
        <v>3.3962736335698289</v>
      </c>
      <c r="J28" s="73">
        <f t="shared" si="0"/>
        <v>5.2205142711503791</v>
      </c>
      <c r="K28" s="73">
        <f t="shared" si="0"/>
        <v>9.8242707176834845</v>
      </c>
      <c r="N28" s="1">
        <f t="shared" si="3"/>
        <v>32.5</v>
      </c>
      <c r="O28" s="3">
        <f t="shared" si="4"/>
        <v>63.697570430678127</v>
      </c>
      <c r="P28" s="2">
        <f t="shared" si="5"/>
        <v>48.5</v>
      </c>
    </row>
    <row r="29" spans="3:16">
      <c r="C29" s="1">
        <f t="shared" si="6"/>
        <v>525</v>
      </c>
      <c r="D29" s="73">
        <f t="shared" si="1"/>
        <v>204.84816935115211</v>
      </c>
      <c r="E29" s="73">
        <f t="shared" si="2"/>
        <v>0.11149364077641574</v>
      </c>
      <c r="F29" s="73">
        <f t="shared" si="0"/>
        <v>0.33027845129018729</v>
      </c>
      <c r="G29" s="73">
        <f t="shared" si="0"/>
        <v>1.0672984368143452</v>
      </c>
      <c r="H29" s="73">
        <f t="shared" si="0"/>
        <v>8.1069488481253487</v>
      </c>
      <c r="I29" s="73">
        <f t="shared" si="0"/>
        <v>3.4401027384265599</v>
      </c>
      <c r="J29" s="73">
        <f t="shared" si="0"/>
        <v>5.3011700231725376</v>
      </c>
      <c r="K29" s="73">
        <f t="shared" si="0"/>
        <v>10.022065099214544</v>
      </c>
      <c r="N29" s="1">
        <f t="shared" si="3"/>
        <v>34.125</v>
      </c>
      <c r="O29" s="3">
        <f t="shared" si="4"/>
        <v>62.437722018231163</v>
      </c>
      <c r="P29" s="2">
        <f t="shared" si="5"/>
        <v>48.93047164939167</v>
      </c>
    </row>
    <row r="30" spans="3:16">
      <c r="C30" s="1">
        <f t="shared" si="6"/>
        <v>550</v>
      </c>
      <c r="D30" s="73">
        <f t="shared" si="1"/>
        <v>200.80458601661294</v>
      </c>
      <c r="E30" s="73">
        <f t="shared" si="2"/>
        <v>0.11236432084540729</v>
      </c>
      <c r="F30" s="73">
        <f t="shared" si="0"/>
        <v>0.33276832856714333</v>
      </c>
      <c r="G30" s="73">
        <f t="shared" si="0"/>
        <v>1.0773272576751325</v>
      </c>
      <c r="H30" s="73">
        <f t="shared" si="0"/>
        <v>8.2476892952655803</v>
      </c>
      <c r="I30" s="73">
        <f t="shared" si="0"/>
        <v>3.4763898349528159</v>
      </c>
      <c r="J30" s="73">
        <f t="shared" si="0"/>
        <v>5.3702050199511868</v>
      </c>
      <c r="K30" s="73">
        <f t="shared" si="0"/>
        <v>10.198668264805843</v>
      </c>
      <c r="N30" s="1">
        <f t="shared" si="3"/>
        <v>35.75</v>
      </c>
      <c r="O30" s="3">
        <f t="shared" si="4"/>
        <v>61.205237817863626</v>
      </c>
      <c r="P30" s="2">
        <f t="shared" si="5"/>
        <v>49.256762995106655</v>
      </c>
    </row>
    <row r="31" spans="3:16">
      <c r="C31" s="1">
        <f t="shared" si="6"/>
        <v>575</v>
      </c>
      <c r="D31" s="73">
        <f t="shared" si="1"/>
        <v>196.84713052414659</v>
      </c>
      <c r="E31" s="73">
        <f t="shared" si="2"/>
        <v>0.11301010356186444</v>
      </c>
      <c r="F31" s="73">
        <f t="shared" si="0"/>
        <v>0.33459435617287792</v>
      </c>
      <c r="G31" s="73">
        <f t="shared" si="0"/>
        <v>1.0851661210266597</v>
      </c>
      <c r="H31" s="73">
        <f t="shared" si="0"/>
        <v>8.3718571514970108</v>
      </c>
      <c r="I31" s="73">
        <f t="shared" si="0"/>
        <v>3.505558145146384</v>
      </c>
      <c r="J31" s="73">
        <f t="shared" si="0"/>
        <v>5.4281854673556733</v>
      </c>
      <c r="K31" s="73">
        <f t="shared" si="0"/>
        <v>10.354835844866185</v>
      </c>
      <c r="N31" s="1">
        <f t="shared" si="3"/>
        <v>37.375</v>
      </c>
      <c r="O31" s="3">
        <f t="shared" si="4"/>
        <v>59.999005383759886</v>
      </c>
      <c r="P31" s="2">
        <f t="shared" si="5"/>
        <v>49.485953841205756</v>
      </c>
    </row>
    <row r="32" spans="3:16">
      <c r="C32" s="1">
        <f t="shared" si="6"/>
        <v>600</v>
      </c>
      <c r="D32" s="73">
        <f t="shared" si="1"/>
        <v>192.97272354595134</v>
      </c>
      <c r="E32" s="73">
        <f t="shared" si="2"/>
        <v>0.11344592062539056</v>
      </c>
      <c r="F32" s="73">
        <f t="shared" si="2"/>
        <v>0.3358011582201138</v>
      </c>
      <c r="G32" s="73">
        <f t="shared" si="2"/>
        <v>1.090949814984856</v>
      </c>
      <c r="H32" s="73">
        <f t="shared" si="2"/>
        <v>8.4800843142557216</v>
      </c>
      <c r="I32" s="73">
        <f t="shared" si="2"/>
        <v>3.5280209084038652</v>
      </c>
      <c r="J32" s="73">
        <f t="shared" si="2"/>
        <v>5.4756710143332645</v>
      </c>
      <c r="K32" s="73">
        <f t="shared" si="2"/>
        <v>10.491332238982505</v>
      </c>
      <c r="N32" s="1">
        <f t="shared" si="3"/>
        <v>39</v>
      </c>
      <c r="O32" s="3">
        <f t="shared" si="4"/>
        <v>58.818086136805967</v>
      </c>
      <c r="P32" s="2">
        <f t="shared" si="5"/>
        <v>49.624829467939982</v>
      </c>
    </row>
    <row r="33" spans="3:33">
      <c r="C33" s="1">
        <f t="shared" si="6"/>
        <v>625</v>
      </c>
      <c r="D33" s="73">
        <f t="shared" si="1"/>
        <v>189.17876024825117</v>
      </c>
      <c r="E33" s="73">
        <f t="shared" si="2"/>
        <v>0.1136861675717787</v>
      </c>
      <c r="F33" s="73">
        <f t="shared" si="2"/>
        <v>0.33643170293834568</v>
      </c>
      <c r="G33" s="73">
        <f t="shared" si="2"/>
        <v>1.0948092564235645</v>
      </c>
      <c r="H33" s="73">
        <f t="shared" si="2"/>
        <v>8.57300919654819</v>
      </c>
      <c r="I33" s="73">
        <f t="shared" si="2"/>
        <v>3.5441817088977592</v>
      </c>
      <c r="J33" s="73">
        <f t="shared" si="2"/>
        <v>5.5132148642646195</v>
      </c>
      <c r="K33" s="73">
        <f t="shared" si="2"/>
        <v>10.608930769855238</v>
      </c>
      <c r="N33" s="1">
        <f t="shared" si="3"/>
        <v>40.625</v>
      </c>
      <c r="O33" s="3">
        <f t="shared" si="4"/>
        <v>57.661686123666961</v>
      </c>
      <c r="P33" s="2">
        <f t="shared" si="5"/>
        <v>49.679897567221502</v>
      </c>
    </row>
    <row r="34" spans="3:33">
      <c r="C34" s="1">
        <f t="shared" si="6"/>
        <v>650</v>
      </c>
      <c r="D34" s="73">
        <f t="shared" si="1"/>
        <v>185.46302762134522</v>
      </c>
      <c r="E34" s="73">
        <f t="shared" si="2"/>
        <v>0.11374472006341538</v>
      </c>
      <c r="F34" s="73">
        <f t="shared" si="2"/>
        <v>0.3365273569852244</v>
      </c>
      <c r="G34" s="73">
        <f t="shared" si="2"/>
        <v>1.0968715470099262</v>
      </c>
      <c r="H34" s="73">
        <f t="shared" si="2"/>
        <v>8.6512761443112094</v>
      </c>
      <c r="I34" s="73">
        <f t="shared" si="2"/>
        <v>3.554434476088999</v>
      </c>
      <c r="J34" s="73">
        <f t="shared" si="2"/>
        <v>5.5413634112711803</v>
      </c>
      <c r="K34" s="73">
        <f t="shared" si="2"/>
        <v>10.708412994652232</v>
      </c>
      <c r="N34" s="1">
        <f t="shared" si="3"/>
        <v>42.25</v>
      </c>
      <c r="O34" s="3">
        <f t="shared" si="4"/>
        <v>56.529130818986026</v>
      </c>
      <c r="P34" s="2">
        <f t="shared" si="5"/>
        <v>49.657399385681657</v>
      </c>
    </row>
    <row r="35" spans="3:33">
      <c r="C35" s="1">
        <f t="shared" si="6"/>
        <v>675</v>
      </c>
      <c r="D35" s="73">
        <f t="shared" si="1"/>
        <v>181.82363337441348</v>
      </c>
      <c r="E35" s="73">
        <f t="shared" si="2"/>
        <v>0.11363494149846406</v>
      </c>
      <c r="F35" s="73">
        <f t="shared" si="2"/>
        <v>0.33612791354841509</v>
      </c>
      <c r="G35" s="73">
        <f t="shared" si="2"/>
        <v>1.0972599531703398</v>
      </c>
      <c r="H35" s="73">
        <f t="shared" si="2"/>
        <v>8.7155343070589328</v>
      </c>
      <c r="I35" s="73">
        <f t="shared" si="2"/>
        <v>3.5591632495125176</v>
      </c>
      <c r="J35" s="73">
        <f t="shared" si="2"/>
        <v>5.5606555233379131</v>
      </c>
      <c r="K35" s="73">
        <f t="shared" si="2"/>
        <v>10.790567340985412</v>
      </c>
      <c r="N35" s="1">
        <f t="shared" si="3"/>
        <v>43.875</v>
      </c>
      <c r="O35" s="3">
        <f t="shared" si="4"/>
        <v>55.419843452521228</v>
      </c>
      <c r="P35" s="2">
        <f t="shared" si="5"/>
        <v>49.563316711296999</v>
      </c>
    </row>
    <row r="36" spans="3:33">
      <c r="C36" s="1">
        <f t="shared" si="6"/>
        <v>700</v>
      </c>
      <c r="D36" s="73">
        <f t="shared" si="1"/>
        <v>178.25894495138368</v>
      </c>
      <c r="E36" s="73">
        <f t="shared" si="2"/>
        <v>0.11336968475532344</v>
      </c>
      <c r="F36" s="73">
        <f t="shared" si="2"/>
        <v>0.33527160269984813</v>
      </c>
      <c r="G36" s="73">
        <f t="shared" si="2"/>
        <v>1.0960938349482641</v>
      </c>
      <c r="H36" s="73">
        <f t="shared" si="2"/>
        <v>8.7664360861822157</v>
      </c>
      <c r="I36" s="73">
        <f t="shared" si="2"/>
        <v>3.5587417842077498</v>
      </c>
      <c r="J36" s="73">
        <f t="shared" si="2"/>
        <v>5.5716215773087967</v>
      </c>
      <c r="K36" s="73">
        <f t="shared" si="2"/>
        <v>10.856187218382995</v>
      </c>
      <c r="N36" s="1">
        <f t="shared" si="3"/>
        <v>45.5</v>
      </c>
      <c r="O36" s="3">
        <f t="shared" si="4"/>
        <v>54.333326421181745</v>
      </c>
      <c r="P36" s="2">
        <f t="shared" si="5"/>
        <v>49.403376018626304</v>
      </c>
    </row>
    <row r="37" spans="3:33">
      <c r="C37" s="1">
        <f t="shared" si="6"/>
        <v>725</v>
      </c>
      <c r="D37" s="73">
        <f t="shared" si="1"/>
        <v>174.76753742680611</v>
      </c>
      <c r="E37" s="73">
        <f t="shared" si="2"/>
        <v>0.11296129033568957</v>
      </c>
      <c r="F37" s="73">
        <f t="shared" si="2"/>
        <v>0.33399509078381379</v>
      </c>
      <c r="G37" s="73">
        <f t="shared" si="2"/>
        <v>1.0934885441619056</v>
      </c>
      <c r="H37" s="73">
        <f t="shared" si="2"/>
        <v>8.8046352722134227</v>
      </c>
      <c r="I37" s="73">
        <f t="shared" si="2"/>
        <v>3.5535330600834354</v>
      </c>
      <c r="J37" s="73">
        <f t="shared" si="2"/>
        <v>5.5747823354598118</v>
      </c>
      <c r="K37" s="73">
        <f t="shared" si="2"/>
        <v>10.906068740618961</v>
      </c>
      <c r="N37" s="1">
        <f t="shared" si="3"/>
        <v>47.125</v>
      </c>
      <c r="O37" s="3">
        <f t="shared" si="4"/>
        <v>53.269145407690502</v>
      </c>
      <c r="P37" s="2">
        <f t="shared" si="5"/>
        <v>49.183050817823393</v>
      </c>
    </row>
    <row r="38" spans="3:33">
      <c r="C38" s="1">
        <f t="shared" si="6"/>
        <v>750</v>
      </c>
      <c r="D38" s="73">
        <f t="shared" si="1"/>
        <v>171.34814920300167</v>
      </c>
      <c r="E38" s="73">
        <f t="shared" si="2"/>
        <v>0.11242158269625217</v>
      </c>
      <c r="F38" s="73">
        <f t="shared" si="2"/>
        <v>0.3323334741877827</v>
      </c>
      <c r="G38" s="73">
        <f t="shared" si="2"/>
        <v>1.0895553082878922</v>
      </c>
      <c r="H38" s="73">
        <f t="shared" si="2"/>
        <v>8.8307849698422007</v>
      </c>
      <c r="I38" s="73">
        <f t="shared" si="2"/>
        <v>3.5438887468840137</v>
      </c>
      <c r="J38" s="73">
        <f t="shared" si="2"/>
        <v>5.5706477392664011</v>
      </c>
      <c r="K38" s="73">
        <f t="shared" si="2"/>
        <v>10.941008179345163</v>
      </c>
      <c r="N38" s="1">
        <f t="shared" si="3"/>
        <v>48.75</v>
      </c>
      <c r="O38" s="3">
        <f t="shared" si="4"/>
        <v>52.226915877074916</v>
      </c>
      <c r="P38" s="2">
        <f t="shared" si="5"/>
        <v>48.907563025210095</v>
      </c>
    </row>
    <row r="39" spans="3:33">
      <c r="C39" s="1">
        <f t="shared" si="6"/>
        <v>775</v>
      </c>
      <c r="D39" s="73">
        <f t="shared" si="1"/>
        <v>167.99964456182965</v>
      </c>
      <c r="E39" s="73">
        <f t="shared" si="2"/>
        <v>0.11176186615469659</v>
      </c>
      <c r="F39" s="73">
        <f t="shared" si="2"/>
        <v>0.33032027162534866</v>
      </c>
      <c r="G39" s="73">
        <f t="shared" si="2"/>
        <v>1.0844011130206901</v>
      </c>
      <c r="H39" s="73">
        <f t="shared" si="2"/>
        <v>8.8455353973884101</v>
      </c>
      <c r="I39" s="73">
        <f t="shared" si="2"/>
        <v>3.5301486661156263</v>
      </c>
      <c r="J39" s="73">
        <f t="shared" si="2"/>
        <v>5.5597156830600847</v>
      </c>
      <c r="K39" s="73">
        <f t="shared" si="2"/>
        <v>10.961799255055839</v>
      </c>
      <c r="N39" s="1">
        <f t="shared" si="3"/>
        <v>50.375</v>
      </c>
      <c r="O39" s="3">
        <f t="shared" si="4"/>
        <v>51.206291662445686</v>
      </c>
      <c r="P39" s="2">
        <f t="shared" si="5"/>
        <v>48.581883981872672</v>
      </c>
    </row>
    <row r="40" spans="3:33">
      <c r="C40" s="1">
        <f t="shared" si="6"/>
        <v>800</v>
      </c>
      <c r="D40" s="73">
        <f t="shared" si="1"/>
        <v>164.7209822338113</v>
      </c>
      <c r="E40" s="73">
        <f t="shared" si="2"/>
        <v>0.11099292141188487</v>
      </c>
      <c r="F40" s="73">
        <f t="shared" si="2"/>
        <v>0.32798741802767828</v>
      </c>
      <c r="G40" s="73">
        <f t="shared" si="2"/>
        <v>1.0781285934372431</v>
      </c>
      <c r="H40" s="73">
        <f t="shared" si="2"/>
        <v>8.8495316358071925</v>
      </c>
      <c r="I40" s="73">
        <f t="shared" si="2"/>
        <v>3.5126402821892522</v>
      </c>
      <c r="J40" s="73">
        <f t="shared" si="2"/>
        <v>5.5424708184675815</v>
      </c>
      <c r="K40" s="73">
        <f t="shared" si="2"/>
        <v>10.969230357496068</v>
      </c>
      <c r="N40" s="1">
        <f t="shared" si="3"/>
        <v>52</v>
      </c>
      <c r="O40" s="3">
        <f t="shared" si="4"/>
        <v>50.206955384865687</v>
      </c>
      <c r="P40" s="2">
        <f t="shared" si="5"/>
        <v>48.210735586481121</v>
      </c>
    </row>
    <row r="41" spans="3:33">
      <c r="C41" s="1">
        <f t="shared" si="6"/>
        <v>825</v>
      </c>
      <c r="D41" s="73">
        <f t="shared" si="1"/>
        <v>161.51118923966195</v>
      </c>
      <c r="E41" s="73">
        <f t="shared" si="2"/>
        <v>0.11012500344204947</v>
      </c>
      <c r="F41" s="73">
        <f t="shared" si="2"/>
        <v>0.32536526227126411</v>
      </c>
      <c r="G41" s="73">
        <f t="shared" si="2"/>
        <v>1.0708359410936366</v>
      </c>
      <c r="H41" s="73">
        <f t="shared" si="2"/>
        <v>8.8434113911629471</v>
      </c>
      <c r="I41" s="73">
        <f t="shared" si="2"/>
        <v>3.4916782470698036</v>
      </c>
      <c r="J41" s="73">
        <f t="shared" si="2"/>
        <v>5.5193834298299924</v>
      </c>
      <c r="K41" s="73">
        <f t="shared" si="2"/>
        <v>10.964081774259585</v>
      </c>
      <c r="N41" s="1">
        <f t="shared" si="3"/>
        <v>53.625</v>
      </c>
      <c r="O41" s="3">
        <f t="shared" si="4"/>
        <v>49.22861048024896</v>
      </c>
      <c r="P41" s="2">
        <f t="shared" si="5"/>
        <v>47.798591875284657</v>
      </c>
    </row>
    <row r="42" spans="3:33">
      <c r="C42" s="1">
        <f t="shared" si="6"/>
        <v>850</v>
      </c>
      <c r="D42" s="73">
        <f t="shared" si="1"/>
        <v>158.36933933866712</v>
      </c>
      <c r="E42" s="73">
        <f t="shared" si="2"/>
        <v>0.1091678412607814</v>
      </c>
      <c r="F42" s="73">
        <f t="shared" si="2"/>
        <v>0.32248257024758686</v>
      </c>
      <c r="G42" s="73">
        <f t="shared" si="2"/>
        <v>1.0626168321613605</v>
      </c>
      <c r="H42" s="73">
        <f t="shared" si="2"/>
        <v>8.8278028239336823</v>
      </c>
      <c r="I42" s="73">
        <f t="shared" si="2"/>
        <v>3.467564015815976</v>
      </c>
      <c r="J42" s="73">
        <f t="shared" si="2"/>
        <v>5.4909084112037823</v>
      </c>
      <c r="K42" s="73">
        <f t="shared" si="2"/>
        <v>10.947122993592725</v>
      </c>
      <c r="N42" s="1">
        <f t="shared" si="3"/>
        <v>55.25</v>
      </c>
      <c r="O42" s="3">
        <f t="shared" si="4"/>
        <v>48.270974630425734</v>
      </c>
      <c r="P42" s="2">
        <f t="shared" si="5"/>
        <v>47.349681272612408</v>
      </c>
    </row>
    <row r="43" spans="3:33">
      <c r="C43" s="1">
        <f t="shared" si="6"/>
        <v>875</v>
      </c>
      <c r="D43" s="73">
        <f t="shared" si="1"/>
        <v>155.29453548780376</v>
      </c>
      <c r="E43" s="73">
        <f t="shared" si="2"/>
        <v>0.10813063988130837</v>
      </c>
      <c r="F43" s="73">
        <f t="shared" si="2"/>
        <v>0.31936653418762978</v>
      </c>
      <c r="G43" s="73">
        <f t="shared" si="2"/>
        <v>1.0535603798444164</v>
      </c>
      <c r="H43" s="73">
        <f t="shared" si="2"/>
        <v>8.8033224885731869</v>
      </c>
      <c r="I43" s="73">
        <f t="shared" si="2"/>
        <v>3.4405855444929583</v>
      </c>
      <c r="J43" s="73">
        <f t="shared" si="2"/>
        <v>5.4574843670427997</v>
      </c>
      <c r="K43" s="73">
        <f t="shared" si="2"/>
        <v>10.919110135426946</v>
      </c>
      <c r="N43" s="1">
        <f t="shared" si="3"/>
        <v>56.875</v>
      </c>
      <c r="O43" s="3">
        <f t="shared" si="4"/>
        <v>47.333774416682587</v>
      </c>
      <c r="P43" s="2">
        <f t="shared" si="5"/>
        <v>46.867989646246777</v>
      </c>
    </row>
    <row r="44" spans="3:33">
      <c r="C44" s="1">
        <f t="shared" si="6"/>
        <v>900</v>
      </c>
      <c r="D44" s="73">
        <f t="shared" si="1"/>
        <v>152.28589577723966</v>
      </c>
      <c r="E44" s="73">
        <f t="shared" si="2"/>
        <v>0.10702208460835487</v>
      </c>
      <c r="F44" s="73">
        <f t="shared" si="2"/>
        <v>0.31604278867666458</v>
      </c>
      <c r="G44" s="73">
        <f t="shared" si="2"/>
        <v>1.0437511127744297</v>
      </c>
      <c r="H44" s="73">
        <f t="shared" si="2"/>
        <v>8.7705734175402341</v>
      </c>
      <c r="I44" s="73">
        <f t="shared" si="2"/>
        <v>3.4110170769735095</v>
      </c>
      <c r="J44" s="73">
        <f t="shared" si="2"/>
        <v>5.4195328512349938</v>
      </c>
      <c r="K44" s="73">
        <f t="shared" si="2"/>
        <v>10.880783553495702</v>
      </c>
      <c r="N44" s="1">
        <f t="shared" si="3"/>
        <v>58.5</v>
      </c>
      <c r="O44" s="3">
        <f t="shared" si="4"/>
        <v>46.41674103290265</v>
      </c>
      <c r="P44" s="2">
        <f t="shared" si="5"/>
        <v>46.357264231096018</v>
      </c>
    </row>
    <row r="45" spans="3:33">
      <c r="D45" s="73"/>
      <c r="E45" s="73"/>
      <c r="F45" s="73"/>
      <c r="G45" s="73"/>
      <c r="H45" s="73"/>
      <c r="I45" s="73"/>
      <c r="J45" s="73"/>
      <c r="K45" s="73"/>
      <c r="O45" s="3"/>
      <c r="P45" s="2"/>
    </row>
    <row r="46" spans="3:33">
      <c r="C46" s="104">
        <v>600</v>
      </c>
      <c r="D46" s="127">
        <v>155.45651398020786</v>
      </c>
      <c r="E46" s="73">
        <f t="shared" ref="E46:K46" si="7">100*($N46/(2*E$11*$I$6))*LOG((E$11*$O46^2+(E$10*1000))/(E$10*1000),2.7182818)/2.54</f>
        <v>7.4298847746423521E-2</v>
      </c>
      <c r="F46" s="73">
        <f t="shared" si="7"/>
        <v>0.21944536594238348</v>
      </c>
      <c r="G46" s="73">
        <f t="shared" si="7"/>
        <v>0.72388624024780934</v>
      </c>
      <c r="H46" s="73">
        <f t="shared" si="7"/>
        <v>6.046799188738488</v>
      </c>
      <c r="I46" s="73">
        <f t="shared" si="7"/>
        <v>2.3638843713065345</v>
      </c>
      <c r="J46" s="73">
        <f t="shared" si="7"/>
        <v>3.7492770498740766</v>
      </c>
      <c r="K46" s="73">
        <f t="shared" si="7"/>
        <v>7.4999999458265032</v>
      </c>
      <c r="N46" s="1">
        <f>C46*0.065</f>
        <v>39</v>
      </c>
      <c r="O46" s="3">
        <f>D46*12*2.54/100</f>
        <v>47.383145461167352</v>
      </c>
      <c r="P46" s="2">
        <f>C46*D46*D46/450240</f>
        <v>32.205127583793391</v>
      </c>
    </row>
    <row r="47" spans="3:33">
      <c r="AB47" s="130" t="s">
        <v>47</v>
      </c>
      <c r="AC47" s="130" t="s">
        <v>48</v>
      </c>
      <c r="AD47" s="130" t="s">
        <v>49</v>
      </c>
      <c r="AE47" s="130" t="s">
        <v>50</v>
      </c>
      <c r="AF47" s="130" t="s">
        <v>51</v>
      </c>
      <c r="AG47" s="130" t="s">
        <v>52</v>
      </c>
    </row>
    <row r="48" spans="3:33" ht="13.5" thickBot="1">
      <c r="D48" s="1">
        <v>7.5</v>
      </c>
      <c r="E48" s="1">
        <v>9.5</v>
      </c>
      <c r="F48" s="1">
        <v>11.5</v>
      </c>
      <c r="G48" s="1">
        <v>16</v>
      </c>
      <c r="H48" s="1">
        <v>19</v>
      </c>
      <c r="I48" s="1">
        <v>20.5</v>
      </c>
      <c r="AA48" s="128"/>
      <c r="AB48" s="131" t="s">
        <v>232</v>
      </c>
      <c r="AC48" s="131" t="s">
        <v>233</v>
      </c>
      <c r="AD48" s="131" t="s">
        <v>234</v>
      </c>
      <c r="AE48" s="131" t="s">
        <v>235</v>
      </c>
      <c r="AF48" s="131" t="s">
        <v>236</v>
      </c>
      <c r="AG48" s="131" t="s">
        <v>237</v>
      </c>
    </row>
    <row r="49" spans="3:33">
      <c r="C49" s="1">
        <v>250</v>
      </c>
      <c r="D49" s="1">
        <v>287</v>
      </c>
      <c r="K49" s="2">
        <f>$C49*D49^2/450240</f>
        <v>45.736162935323385</v>
      </c>
      <c r="L49" s="2"/>
      <c r="M49" s="2"/>
      <c r="N49" s="2"/>
      <c r="O49" s="2"/>
      <c r="P49" s="2"/>
      <c r="Q49" s="2"/>
      <c r="R49" s="3">
        <f>$C49*D49*2/450240</f>
        <v>0.31871890547263682</v>
      </c>
      <c r="S49" s="3"/>
      <c r="T49" s="3"/>
      <c r="U49" s="3"/>
      <c r="V49" s="3"/>
      <c r="W49" s="3"/>
      <c r="Z49" s="132" t="s">
        <v>0</v>
      </c>
      <c r="AA49" s="134">
        <f>C49</f>
        <v>250</v>
      </c>
      <c r="AB49" s="135" t="str">
        <f>D49 &amp; " (" &amp; ROUND(K49,0) &amp; "/" &amp; ROUND(R49,2) &amp; ")"</f>
        <v>287 (46/0.32)</v>
      </c>
      <c r="AC49" s="135"/>
      <c r="AD49" s="135"/>
      <c r="AE49" s="135"/>
      <c r="AF49" s="135"/>
      <c r="AG49" s="135"/>
    </row>
    <row r="50" spans="3:33">
      <c r="C50" s="1">
        <v>300</v>
      </c>
      <c r="D50" s="1">
        <v>250</v>
      </c>
      <c r="E50" s="1">
        <v>300</v>
      </c>
      <c r="K50" s="2">
        <f t="shared" ref="K50:K56" si="8">$C50*D50^2/450240</f>
        <v>41.644456289978677</v>
      </c>
      <c r="L50" s="2">
        <f t="shared" ref="L50:P66" si="9">$C50*E50^2/450240</f>
        <v>59.968017057569298</v>
      </c>
      <c r="M50" s="2"/>
      <c r="N50" s="2"/>
      <c r="O50" s="2"/>
      <c r="P50" s="2"/>
      <c r="Q50" s="2"/>
      <c r="R50" s="3">
        <f t="shared" ref="R50:R56" si="10">$C50*D50*2/450240</f>
        <v>0.33315565031982941</v>
      </c>
      <c r="S50" s="3">
        <f t="shared" ref="S50:W66" si="11">$C50*E50*2/450240</f>
        <v>0.39978678038379528</v>
      </c>
      <c r="T50" s="3"/>
      <c r="U50" s="3"/>
      <c r="V50" s="3"/>
      <c r="W50" s="3"/>
      <c r="Z50" s="133"/>
      <c r="AA50" s="129">
        <f>C50</f>
        <v>300</v>
      </c>
      <c r="AB50" s="5" t="str">
        <f>D50 &amp; " (" &amp; ROUND(K50,0) &amp; "/" &amp; ROUND(R50,2) &amp; ")"</f>
        <v>250 (42/0.33)</v>
      </c>
      <c r="AC50" s="5" t="str">
        <f>E50 &amp; " (" &amp; ROUND(L50,0) &amp; "/" &amp; ROUND(S50,2) &amp; ")"</f>
        <v>300 (60/0.4)</v>
      </c>
      <c r="AD50" s="5"/>
      <c r="AE50" s="5"/>
      <c r="AF50" s="5"/>
      <c r="AG50" s="5"/>
    </row>
    <row r="51" spans="3:33">
      <c r="C51" s="1">
        <v>350</v>
      </c>
      <c r="D51" s="1">
        <v>222</v>
      </c>
      <c r="E51" s="1">
        <v>265</v>
      </c>
      <c r="F51" s="1">
        <v>310</v>
      </c>
      <c r="K51" s="2">
        <f t="shared" si="8"/>
        <v>38.311567164179102</v>
      </c>
      <c r="L51" s="2">
        <f t="shared" si="9"/>
        <v>54.590329601990049</v>
      </c>
      <c r="M51" s="2">
        <f t="shared" si="9"/>
        <v>74.704601990049753</v>
      </c>
      <c r="N51" s="2"/>
      <c r="O51" s="2"/>
      <c r="P51" s="2"/>
      <c r="Q51" s="2"/>
      <c r="R51" s="3">
        <f t="shared" si="10"/>
        <v>0.34514925373134331</v>
      </c>
      <c r="S51" s="3">
        <f t="shared" si="11"/>
        <v>0.41200248756218905</v>
      </c>
      <c r="T51" s="3">
        <f t="shared" si="11"/>
        <v>0.48196517412935325</v>
      </c>
      <c r="U51" s="3"/>
      <c r="V51" s="3"/>
      <c r="W51" s="3"/>
      <c r="Z51" s="133"/>
      <c r="AA51" s="134">
        <f>C51</f>
        <v>350</v>
      </c>
      <c r="AB51" s="135" t="str">
        <f>D51 &amp; " (" &amp; ROUND(K51,0) &amp; "/" &amp; ROUND(R51,2) &amp; ")"</f>
        <v>222 (38/0.35)</v>
      </c>
      <c r="AC51" s="135" t="str">
        <f>E51 &amp; " (" &amp; ROUND(L51,0) &amp; "/" &amp; ROUND(S51,2) &amp; ")"</f>
        <v>265 (55/0.41)</v>
      </c>
      <c r="AD51" s="135" t="str">
        <f>F51 &amp; " (" &amp; ROUND(M51,0) &amp; "/" &amp; ROUND(T51,2) &amp; ")"</f>
        <v>310 (75/0.48)</v>
      </c>
      <c r="AE51" s="135"/>
      <c r="AF51" s="135"/>
      <c r="AG51" s="135"/>
    </row>
    <row r="52" spans="3:33">
      <c r="C52" s="1">
        <v>400</v>
      </c>
      <c r="D52" s="1">
        <v>202</v>
      </c>
      <c r="E52" s="1">
        <v>240</v>
      </c>
      <c r="F52" s="1">
        <v>277</v>
      </c>
      <c r="K52" s="2">
        <f t="shared" si="8"/>
        <v>36.250888415067521</v>
      </c>
      <c r="L52" s="2">
        <f t="shared" si="9"/>
        <v>51.172707889125796</v>
      </c>
      <c r="M52" s="2">
        <f t="shared" si="9"/>
        <v>68.167199715707184</v>
      </c>
      <c r="N52" s="2"/>
      <c r="O52" s="2"/>
      <c r="P52" s="2"/>
      <c r="Q52" s="2"/>
      <c r="R52" s="3">
        <f t="shared" si="10"/>
        <v>0.35891968727789625</v>
      </c>
      <c r="S52" s="3">
        <f t="shared" si="11"/>
        <v>0.42643923240938164</v>
      </c>
      <c r="T52" s="3">
        <f t="shared" si="11"/>
        <v>0.49218194740582799</v>
      </c>
      <c r="U52" s="3"/>
      <c r="V52" s="3"/>
      <c r="W52" s="3"/>
      <c r="Z52" s="133"/>
      <c r="AA52" s="129">
        <f>C52</f>
        <v>400</v>
      </c>
      <c r="AB52" s="5" t="str">
        <f>D52 &amp; " (" &amp; ROUND(K52,0) &amp; "/" &amp; ROUND(R52,2) &amp; ")"</f>
        <v>202 (36/0.36)</v>
      </c>
      <c r="AC52" s="5" t="str">
        <f>E52 &amp; " (" &amp; ROUND(L52,0) &amp; "/" &amp; ROUND(S52,2) &amp; ")"</f>
        <v>240 (51/0.43)</v>
      </c>
      <c r="AD52" s="5" t="str">
        <f>F52 &amp; " (" &amp; ROUND(M52,0) &amp; "/" &amp; ROUND(T52,2) &amp; ")"</f>
        <v>277 (68/0.49)</v>
      </c>
      <c r="AE52" s="5"/>
      <c r="AF52" s="5"/>
      <c r="AG52" s="5"/>
    </row>
    <row r="53" spans="3:33">
      <c r="C53" s="1">
        <v>450</v>
      </c>
      <c r="D53" s="1">
        <v>187</v>
      </c>
      <c r="E53" s="1">
        <v>220</v>
      </c>
      <c r="F53" s="1">
        <v>253</v>
      </c>
      <c r="K53" s="2">
        <f t="shared" si="8"/>
        <v>34.950359808102348</v>
      </c>
      <c r="L53" s="2">
        <f t="shared" si="9"/>
        <v>48.374200426439231</v>
      </c>
      <c r="M53" s="2">
        <f t="shared" si="9"/>
        <v>63.974880063965884</v>
      </c>
      <c r="N53" s="2"/>
      <c r="O53" s="2"/>
      <c r="P53" s="2"/>
      <c r="Q53" s="2"/>
      <c r="R53" s="3">
        <f t="shared" si="10"/>
        <v>0.37380063965884863</v>
      </c>
      <c r="S53" s="3">
        <f t="shared" si="11"/>
        <v>0.43976545842217485</v>
      </c>
      <c r="T53" s="3">
        <f t="shared" si="11"/>
        <v>0.50573027718550112</v>
      </c>
      <c r="U53" s="3"/>
      <c r="V53" s="3"/>
      <c r="W53" s="3"/>
      <c r="Z53" s="133"/>
      <c r="AA53" s="134">
        <f>C53</f>
        <v>450</v>
      </c>
      <c r="AB53" s="135" t="str">
        <f>D53 &amp; " (" &amp; ROUND(K53,0) &amp; "/" &amp; ROUND(R53,2) &amp; ")"</f>
        <v>187 (35/0.37)</v>
      </c>
      <c r="AC53" s="135" t="str">
        <f>E53 &amp; " (" &amp; ROUND(L53,0) &amp; "/" &amp; ROUND(S53,2) &amp; ")"</f>
        <v>220 (48/0.44)</v>
      </c>
      <c r="AD53" s="135" t="str">
        <f>F53 &amp; " (" &amp; ROUND(M53,0) &amp; "/" &amp; ROUND(T53,2) &amp; ")"</f>
        <v>253 (64/0.51)</v>
      </c>
      <c r="AE53" s="135"/>
      <c r="AF53" s="135"/>
      <c r="AG53" s="135"/>
    </row>
    <row r="54" spans="3:33">
      <c r="C54" s="1">
        <v>500</v>
      </c>
      <c r="D54" s="1">
        <v>174</v>
      </c>
      <c r="E54" s="1">
        <v>204</v>
      </c>
      <c r="F54" s="1">
        <v>234</v>
      </c>
      <c r="G54" s="1">
        <v>303</v>
      </c>
      <c r="K54" s="2">
        <f t="shared" si="8"/>
        <v>33.622068230277186</v>
      </c>
      <c r="L54" s="2">
        <f t="shared" si="9"/>
        <v>46.215351812366741</v>
      </c>
      <c r="M54" s="2">
        <f t="shared" si="9"/>
        <v>60.807569296375263</v>
      </c>
      <c r="N54" s="2">
        <f t="shared" si="9"/>
        <v>101.9556236673774</v>
      </c>
      <c r="O54" s="2"/>
      <c r="P54" s="2"/>
      <c r="Q54" s="2"/>
      <c r="R54" s="3">
        <f t="shared" si="10"/>
        <v>0.38646055437100213</v>
      </c>
      <c r="S54" s="3">
        <f t="shared" si="11"/>
        <v>0.453091684434968</v>
      </c>
      <c r="T54" s="3">
        <f t="shared" si="11"/>
        <v>0.51972281449893387</v>
      </c>
      <c r="U54" s="3">
        <f t="shared" si="11"/>
        <v>0.67297441364605548</v>
      </c>
      <c r="V54" s="3"/>
      <c r="W54" s="3"/>
      <c r="Z54" s="133"/>
      <c r="AA54" s="129">
        <f>C54</f>
        <v>500</v>
      </c>
      <c r="AB54" s="5" t="str">
        <f>D54 &amp; " (" &amp; ROUND(K54,0) &amp; "/" &amp; ROUND(R54,2) &amp; ")"</f>
        <v>174 (34/0.39)</v>
      </c>
      <c r="AC54" s="5" t="str">
        <f>E54 &amp; " (" &amp; ROUND(L54,0) &amp; "/" &amp; ROUND(S54,2) &amp; ")"</f>
        <v>204 (46/0.45)</v>
      </c>
      <c r="AD54" s="5" t="str">
        <f>F54 &amp; " (" &amp; ROUND(M54,0) &amp; "/" &amp; ROUND(T54,2) &amp; ")"</f>
        <v>234 (61/0.52)</v>
      </c>
      <c r="AE54" s="5" t="str">
        <f>G54 &amp; " (" &amp; ROUND(N54,0) &amp; "/" &amp; ROUND(U54,2) &amp; ")"</f>
        <v>303 (102/0.67)</v>
      </c>
      <c r="AF54" s="5"/>
      <c r="AG54" s="5"/>
    </row>
    <row r="55" spans="3:33">
      <c r="C55" s="1">
        <v>550</v>
      </c>
      <c r="D55" s="1">
        <v>164</v>
      </c>
      <c r="E55" s="1">
        <v>191</v>
      </c>
      <c r="F55" s="1">
        <v>218</v>
      </c>
      <c r="G55" s="1">
        <v>280</v>
      </c>
      <c r="K55" s="2">
        <f t="shared" si="8"/>
        <v>32.855366027007818</v>
      </c>
      <c r="L55" s="2">
        <f t="shared" si="9"/>
        <v>44.564121357498223</v>
      </c>
      <c r="M55" s="2">
        <f t="shared" si="9"/>
        <v>58.053926794598439</v>
      </c>
      <c r="N55" s="2">
        <f t="shared" si="9"/>
        <v>95.771144278606968</v>
      </c>
      <c r="O55" s="2"/>
      <c r="P55" s="2"/>
      <c r="Q55" s="2"/>
      <c r="R55" s="3">
        <f t="shared" si="10"/>
        <v>0.40067519545131486</v>
      </c>
      <c r="S55" s="3">
        <f t="shared" si="11"/>
        <v>0.46664001421464107</v>
      </c>
      <c r="T55" s="3">
        <f t="shared" si="11"/>
        <v>0.53260483297796735</v>
      </c>
      <c r="U55" s="3">
        <f t="shared" si="11"/>
        <v>0.6840796019900498</v>
      </c>
      <c r="V55" s="3"/>
      <c r="W55" s="3"/>
      <c r="Z55" s="133"/>
      <c r="AA55" s="134">
        <f>C55</f>
        <v>550</v>
      </c>
      <c r="AB55" s="135" t="str">
        <f>D55 &amp; " (" &amp; ROUND(K55,0) &amp; "/" &amp; ROUND(R55,2) &amp; ")"</f>
        <v>164 (33/0.4)</v>
      </c>
      <c r="AC55" s="135" t="str">
        <f>E55 &amp; " (" &amp; ROUND(L55,0) &amp; "/" &amp; ROUND(S55,2) &amp; ")"</f>
        <v>191 (45/0.47)</v>
      </c>
      <c r="AD55" s="135" t="str">
        <f>F55 &amp; " (" &amp; ROUND(M55,0) &amp; "/" &amp; ROUND(T55,2) &amp; ")"</f>
        <v>218 (58/0.53)</v>
      </c>
      <c r="AE55" s="135" t="str">
        <f>G55 &amp; " (" &amp; ROUND(N55,0) &amp; "/" &amp; ROUND(U55,2) &amp; ")"</f>
        <v>280 (96/0.68)</v>
      </c>
      <c r="AF55" s="135"/>
      <c r="AG55" s="135"/>
    </row>
    <row r="56" spans="3:33">
      <c r="C56" s="1">
        <v>600</v>
      </c>
      <c r="D56" s="1">
        <v>156</v>
      </c>
      <c r="E56" s="1">
        <v>180</v>
      </c>
      <c r="F56" s="1">
        <v>205</v>
      </c>
      <c r="G56" s="1">
        <v>261</v>
      </c>
      <c r="K56" s="2">
        <f t="shared" si="8"/>
        <v>32.430703624733475</v>
      </c>
      <c r="L56" s="2">
        <f t="shared" si="9"/>
        <v>43.176972281449892</v>
      </c>
      <c r="M56" s="2">
        <f t="shared" si="9"/>
        <v>56.003464818763327</v>
      </c>
      <c r="N56" s="2">
        <f t="shared" si="9"/>
        <v>90.779584221748408</v>
      </c>
      <c r="O56" s="2"/>
      <c r="P56" s="2"/>
      <c r="Q56" s="2"/>
      <c r="R56" s="3">
        <f t="shared" si="10"/>
        <v>0.41577825159914711</v>
      </c>
      <c r="S56" s="3">
        <f t="shared" si="11"/>
        <v>0.47974413646055436</v>
      </c>
      <c r="T56" s="3">
        <f t="shared" si="11"/>
        <v>0.54637526652452029</v>
      </c>
      <c r="U56" s="3">
        <f t="shared" si="11"/>
        <v>0.69562899786780386</v>
      </c>
      <c r="V56" s="3"/>
      <c r="W56" s="3"/>
      <c r="Z56" s="133"/>
      <c r="AA56" s="129">
        <f>C56</f>
        <v>600</v>
      </c>
      <c r="AB56" s="5" t="str">
        <f>D56 &amp; " (" &amp; ROUND(K56,0) &amp; "/" &amp; ROUND(R56,2) &amp; ")"</f>
        <v>156 (32/0.42)</v>
      </c>
      <c r="AC56" s="5" t="str">
        <f>E56 &amp; " (" &amp; ROUND(L56,0) &amp; "/" &amp; ROUND(S56,2) &amp; ")"</f>
        <v>180 (43/0.48)</v>
      </c>
      <c r="AD56" s="5" t="str">
        <f>F56 &amp; " (" &amp; ROUND(M56,0) &amp; "/" &amp; ROUND(T56,2) &amp; ")"</f>
        <v>205 (56/0.55)</v>
      </c>
      <c r="AE56" s="5" t="str">
        <f>G56 &amp; " (" &amp; ROUND(N56,0) &amp; "/" &amp; ROUND(U56,2) &amp; ")"</f>
        <v>261 (91/0.7)</v>
      </c>
      <c r="AF56" s="5"/>
      <c r="AG56" s="5"/>
    </row>
    <row r="57" spans="3:33">
      <c r="C57" s="1">
        <v>650</v>
      </c>
      <c r="E57" s="1">
        <v>172</v>
      </c>
      <c r="F57" s="1">
        <v>195</v>
      </c>
      <c r="G57" s="1">
        <v>246</v>
      </c>
      <c r="H57" s="1">
        <v>281</v>
      </c>
      <c r="K57" s="2"/>
      <c r="L57" s="2">
        <f t="shared" si="9"/>
        <v>42.709665955934611</v>
      </c>
      <c r="M57" s="2">
        <f t="shared" si="9"/>
        <v>54.895722281449892</v>
      </c>
      <c r="N57" s="2">
        <f t="shared" si="9"/>
        <v>87.365405117270782</v>
      </c>
      <c r="O57" s="2">
        <f t="shared" si="9"/>
        <v>113.99398098791755</v>
      </c>
      <c r="P57" s="2"/>
      <c r="Q57" s="2"/>
      <c r="R57" s="3"/>
      <c r="S57" s="3">
        <f t="shared" si="11"/>
        <v>0.49662402274342571</v>
      </c>
      <c r="T57" s="3">
        <f t="shared" si="11"/>
        <v>0.56303304904051177</v>
      </c>
      <c r="U57" s="3">
        <f t="shared" si="11"/>
        <v>0.71028784648187637</v>
      </c>
      <c r="V57" s="3">
        <f t="shared" si="11"/>
        <v>0.81134506041222454</v>
      </c>
      <c r="W57" s="3"/>
      <c r="Z57" s="133"/>
      <c r="AA57" s="134">
        <f>C57</f>
        <v>650</v>
      </c>
      <c r="AB57" s="135"/>
      <c r="AC57" s="135" t="str">
        <f>E57 &amp; " (" &amp; ROUND(L57,0) &amp; "/" &amp; ROUND(S57,2) &amp; ")"</f>
        <v>172 (43/0.5)</v>
      </c>
      <c r="AD57" s="135" t="str">
        <f>F57 &amp; " (" &amp; ROUND(M57,0) &amp; "/" &amp; ROUND(T57,2) &amp; ")"</f>
        <v>195 (55/0.56)</v>
      </c>
      <c r="AE57" s="135" t="str">
        <f>G57 &amp; " (" &amp; ROUND(N57,0) &amp; "/" &amp; ROUND(U57,2) &amp; ")"</f>
        <v>246 (87/0.71)</v>
      </c>
      <c r="AF57" s="135" t="str">
        <f>H57 &amp; " (" &amp; ROUND(O57,0) &amp; "/" &amp; ROUND(V57,2) &amp; ")"</f>
        <v>281 (114/0.81)</v>
      </c>
      <c r="AG57" s="135"/>
    </row>
    <row r="58" spans="3:33">
      <c r="C58" s="1">
        <v>700</v>
      </c>
      <c r="F58" s="1">
        <v>185</v>
      </c>
      <c r="G58" s="1">
        <v>233</v>
      </c>
      <c r="H58" s="1">
        <v>265</v>
      </c>
      <c r="K58" s="2"/>
      <c r="L58" s="2"/>
      <c r="M58" s="2">
        <f t="shared" si="9"/>
        <v>53.210509950248756</v>
      </c>
      <c r="N58" s="2">
        <f t="shared" si="9"/>
        <v>84.404539800995025</v>
      </c>
      <c r="O58" s="2">
        <f t="shared" si="9"/>
        <v>109.1806592039801</v>
      </c>
      <c r="P58" s="2"/>
      <c r="Q58" s="2"/>
      <c r="R58" s="3"/>
      <c r="S58" s="3"/>
      <c r="T58" s="3">
        <f t="shared" si="11"/>
        <v>0.57524875621890548</v>
      </c>
      <c r="U58" s="3">
        <f t="shared" si="11"/>
        <v>0.72450248756218905</v>
      </c>
      <c r="V58" s="3">
        <f t="shared" si="11"/>
        <v>0.82400497512437809</v>
      </c>
      <c r="W58" s="3"/>
      <c r="Z58" s="133"/>
      <c r="AA58" s="129">
        <f>C58</f>
        <v>700</v>
      </c>
      <c r="AB58" s="5"/>
      <c r="AC58" s="5"/>
      <c r="AD58" s="5" t="str">
        <f>F58 &amp; " (" &amp; ROUND(M58,0) &amp; "/" &amp; ROUND(T58,2) &amp; ")"</f>
        <v>185 (53/0.58)</v>
      </c>
      <c r="AE58" s="5" t="str">
        <f>G58 &amp; " (" &amp; ROUND(N58,0) &amp; "/" &amp; ROUND(U58,2) &amp; ")"</f>
        <v>233 (84/0.72)</v>
      </c>
      <c r="AF58" s="5" t="str">
        <f>H58 &amp; " (" &amp; ROUND(O58,0) &amp; "/" &amp; ROUND(V58,2) &amp; ")"</f>
        <v>265 (109/0.82)</v>
      </c>
      <c r="AG58" s="5"/>
    </row>
    <row r="59" spans="3:33">
      <c r="C59" s="1">
        <v>750</v>
      </c>
      <c r="F59" s="1">
        <v>177</v>
      </c>
      <c r="G59" s="1">
        <v>222</v>
      </c>
      <c r="H59" s="1">
        <v>251</v>
      </c>
      <c r="I59" s="1">
        <v>265</v>
      </c>
      <c r="K59" s="2"/>
      <c r="L59" s="2"/>
      <c r="M59" s="2">
        <f t="shared" si="9"/>
        <v>52.187166844349683</v>
      </c>
      <c r="N59" s="2">
        <f t="shared" si="9"/>
        <v>82.096215351812361</v>
      </c>
      <c r="O59" s="2">
        <f t="shared" si="9"/>
        <v>104.94569562899787</v>
      </c>
      <c r="P59" s="2">
        <f t="shared" si="9"/>
        <v>116.97927771855011</v>
      </c>
      <c r="Q59" s="2"/>
      <c r="R59" s="3"/>
      <c r="S59" s="3"/>
      <c r="T59" s="3">
        <f t="shared" si="11"/>
        <v>0.58968550106609807</v>
      </c>
      <c r="U59" s="3">
        <f t="shared" si="11"/>
        <v>0.7396055437100213</v>
      </c>
      <c r="V59" s="3">
        <f t="shared" si="11"/>
        <v>0.8362206823027718</v>
      </c>
      <c r="W59" s="3">
        <f t="shared" si="11"/>
        <v>0.88286247334754797</v>
      </c>
      <c r="Z59" s="133"/>
      <c r="AA59" s="134">
        <f>C59</f>
        <v>750</v>
      </c>
      <c r="AB59" s="135"/>
      <c r="AC59" s="135"/>
      <c r="AD59" s="135" t="str">
        <f>F59 &amp; " (" &amp; ROUND(M59,0) &amp; "/" &amp; ROUND(T59,2) &amp; ")"</f>
        <v>177 (52/0.59)</v>
      </c>
      <c r="AE59" s="135" t="str">
        <f>G59 &amp; " (" &amp; ROUND(N59,0) &amp; "/" &amp; ROUND(U59,2) &amp; ")"</f>
        <v>222 (82/0.74)</v>
      </c>
      <c r="AF59" s="135" t="str">
        <f>H59 &amp; " (" &amp; ROUND(O59,0) &amp; "/" &amp; ROUND(V59,2) &amp; ")"</f>
        <v>251 (105/0.84)</v>
      </c>
      <c r="AG59" s="135" t="str">
        <f>I59 &amp; " (" &amp; ROUND(P59,0) &amp; "/" &amp; ROUND(W59,2) &amp; ")"</f>
        <v>265 (117/0.88)</v>
      </c>
    </row>
    <row r="60" spans="3:33">
      <c r="C60" s="1">
        <v>800</v>
      </c>
      <c r="F60" s="1">
        <v>170</v>
      </c>
      <c r="G60" s="1">
        <v>212</v>
      </c>
      <c r="H60" s="1">
        <v>239</v>
      </c>
      <c r="I60" s="1">
        <v>254</v>
      </c>
      <c r="K60" s="2"/>
      <c r="L60" s="2"/>
      <c r="M60" s="2">
        <f t="shared" si="9"/>
        <v>51.350390902629705</v>
      </c>
      <c r="N60" s="2">
        <f t="shared" si="9"/>
        <v>79.857853589196878</v>
      </c>
      <c r="O60" s="2">
        <f t="shared" si="9"/>
        <v>101.49431414356788</v>
      </c>
      <c r="P60" s="2">
        <f t="shared" si="9"/>
        <v>114.63397299218195</v>
      </c>
      <c r="Q60" s="2"/>
      <c r="R60" s="3"/>
      <c r="S60" s="3"/>
      <c r="T60" s="3">
        <f t="shared" si="11"/>
        <v>0.60412224591329067</v>
      </c>
      <c r="U60" s="3">
        <f t="shared" si="11"/>
        <v>0.75337597725657424</v>
      </c>
      <c r="V60" s="3">
        <f t="shared" si="11"/>
        <v>0.8493248045486852</v>
      </c>
      <c r="W60" s="3">
        <f t="shared" si="11"/>
        <v>0.90262970859985781</v>
      </c>
      <c r="Z60" s="133"/>
      <c r="AA60" s="129">
        <f>C60</f>
        <v>800</v>
      </c>
      <c r="AB60" s="5"/>
      <c r="AC60" s="5"/>
      <c r="AD60" s="5" t="str">
        <f>F60 &amp; " (" &amp; ROUND(M60,0) &amp; "/" &amp; ROUND(T60,2) &amp; ")"</f>
        <v>170 (51/0.6)</v>
      </c>
      <c r="AE60" s="5" t="str">
        <f>G60 &amp; " (" &amp; ROUND(N60,0) &amp; "/" &amp; ROUND(U60,2) &amp; ")"</f>
        <v>212 (80/0.75)</v>
      </c>
      <c r="AF60" s="5" t="str">
        <f>H60 &amp; " (" &amp; ROUND(O60,0) &amp; "/" &amp; ROUND(V60,2) &amp; ")"</f>
        <v>239 (101/0.85)</v>
      </c>
      <c r="AG60" s="5" t="str">
        <f>I60 &amp; " (" &amp; ROUND(P60,0) &amp; "/" &amp; ROUND(W60,2) &amp; ")"</f>
        <v>254 (115/0.9)</v>
      </c>
    </row>
    <row r="61" spans="3:33">
      <c r="C61" s="1">
        <v>850</v>
      </c>
      <c r="G61" s="1">
        <v>203</v>
      </c>
      <c r="H61" s="1">
        <v>229</v>
      </c>
      <c r="I61" s="1">
        <v>242</v>
      </c>
      <c r="K61" s="2"/>
      <c r="L61" s="2"/>
      <c r="M61" s="2"/>
      <c r="N61" s="2">
        <f t="shared" si="9"/>
        <v>77.797730099502488</v>
      </c>
      <c r="O61" s="2">
        <f t="shared" si="9"/>
        <v>99.002420931058992</v>
      </c>
      <c r="P61" s="2">
        <f t="shared" si="9"/>
        <v>110.56192253020612</v>
      </c>
      <c r="Q61" s="2"/>
      <c r="R61" s="3"/>
      <c r="S61" s="3"/>
      <c r="T61" s="3"/>
      <c r="U61" s="3">
        <f t="shared" si="11"/>
        <v>0.76648009950248752</v>
      </c>
      <c r="V61" s="3">
        <f t="shared" si="11"/>
        <v>0.86464996446339726</v>
      </c>
      <c r="W61" s="3">
        <f t="shared" si="11"/>
        <v>0.91373489694385213</v>
      </c>
      <c r="Z61" s="133"/>
      <c r="AA61" s="134">
        <f>C61</f>
        <v>850</v>
      </c>
      <c r="AB61" s="135"/>
      <c r="AC61" s="135"/>
      <c r="AD61" s="135"/>
      <c r="AE61" s="135" t="str">
        <f>G61 &amp; " (" &amp; ROUND(N61,0) &amp; "/" &amp; ROUND(U61,2) &amp; ")"</f>
        <v>203 (78/0.77)</v>
      </c>
      <c r="AF61" s="135" t="str">
        <f>H61 &amp; " (" &amp; ROUND(O61,0) &amp; "/" &amp; ROUND(V61,2) &amp; ")"</f>
        <v>229 (99/0.86)</v>
      </c>
      <c r="AG61" s="135" t="str">
        <f>I61 &amp; " (" &amp; ROUND(P61,0) &amp; "/" &amp; ROUND(W61,2) &amp; ")"</f>
        <v>242 (111/0.91)</v>
      </c>
    </row>
    <row r="62" spans="3:33">
      <c r="C62" s="1">
        <v>900</v>
      </c>
      <c r="G62" s="1">
        <v>195</v>
      </c>
      <c r="H62" s="1">
        <v>220</v>
      </c>
      <c r="I62" s="1">
        <v>232</v>
      </c>
      <c r="K62" s="2"/>
      <c r="L62" s="2"/>
      <c r="M62" s="2"/>
      <c r="N62" s="2">
        <f t="shared" si="9"/>
        <v>76.009461620469082</v>
      </c>
      <c r="O62" s="2">
        <f t="shared" si="9"/>
        <v>96.748400852878461</v>
      </c>
      <c r="P62" s="2">
        <f t="shared" si="9"/>
        <v>107.59061833688699</v>
      </c>
      <c r="Q62" s="2"/>
      <c r="R62" s="3"/>
      <c r="S62" s="3"/>
      <c r="T62" s="3"/>
      <c r="U62" s="3">
        <f t="shared" si="11"/>
        <v>0.77958422174840081</v>
      </c>
      <c r="V62" s="3">
        <f t="shared" si="11"/>
        <v>0.8795309168443497</v>
      </c>
      <c r="W62" s="3">
        <f t="shared" si="11"/>
        <v>0.92750533049040507</v>
      </c>
      <c r="Z62" s="133"/>
      <c r="AA62" s="129">
        <f>C62</f>
        <v>900</v>
      </c>
      <c r="AB62" s="5"/>
      <c r="AC62" s="5"/>
      <c r="AD62" s="5"/>
      <c r="AE62" s="5" t="str">
        <f>G62 &amp; " (" &amp; ROUND(N62,0) &amp; "/" &amp; ROUND(U62,2) &amp; ")"</f>
        <v>195 (76/0.78)</v>
      </c>
      <c r="AF62" s="5" t="str">
        <f>H62 &amp; " (" &amp; ROUND(O62,0) &amp; "/" &amp; ROUND(V62,2) &amp; ")"</f>
        <v>220 (97/0.88)</v>
      </c>
      <c r="AG62" s="5" t="str">
        <f>I62 &amp; " (" &amp; ROUND(P62,0) &amp; "/" &amp; ROUND(W62,2) &amp; ")"</f>
        <v>232 (108/0.93)</v>
      </c>
    </row>
    <row r="63" spans="3:33">
      <c r="C63" s="1">
        <v>950</v>
      </c>
      <c r="G63" s="1">
        <v>188</v>
      </c>
      <c r="H63" s="1">
        <v>212</v>
      </c>
      <c r="I63" s="1">
        <v>223</v>
      </c>
      <c r="K63" s="2"/>
      <c r="L63" s="2"/>
      <c r="M63" s="2"/>
      <c r="N63" s="2">
        <f t="shared" si="9"/>
        <v>74.575337597725664</v>
      </c>
      <c r="O63" s="2">
        <f t="shared" si="9"/>
        <v>94.831201137171291</v>
      </c>
      <c r="P63" s="2">
        <f t="shared" si="9"/>
        <v>104.92748312011372</v>
      </c>
      <c r="Q63" s="2"/>
      <c r="R63" s="3"/>
      <c r="S63" s="3"/>
      <c r="T63" s="3"/>
      <c r="U63" s="3">
        <f t="shared" si="11"/>
        <v>0.79335465529495375</v>
      </c>
      <c r="V63" s="3">
        <f t="shared" si="11"/>
        <v>0.89463397299218195</v>
      </c>
      <c r="W63" s="3">
        <f t="shared" si="11"/>
        <v>0.9410536602700782</v>
      </c>
      <c r="Z63" s="133"/>
      <c r="AA63" s="134">
        <f>C63</f>
        <v>950</v>
      </c>
      <c r="AB63" s="135"/>
      <c r="AC63" s="135"/>
      <c r="AD63" s="135"/>
      <c r="AE63" s="135" t="str">
        <f>G63 &amp; " (" &amp; ROUND(N63,0) &amp; "/" &amp; ROUND(U63,2) &amp; ")"</f>
        <v>188 (75/0.79)</v>
      </c>
      <c r="AF63" s="135" t="str">
        <f>H63 &amp; " (" &amp; ROUND(O63,0) &amp; "/" &amp; ROUND(V63,2) &amp; ")"</f>
        <v>212 (95/0.89)</v>
      </c>
      <c r="AG63" s="135" t="str">
        <f>I63 &amp; " (" &amp; ROUND(P63,0) &amp; "/" &amp; ROUND(W63,2) &amp; ")"</f>
        <v>223 (105/0.94)</v>
      </c>
    </row>
    <row r="64" spans="3:33">
      <c r="C64" s="1">
        <v>1000</v>
      </c>
      <c r="G64" s="1">
        <v>182</v>
      </c>
      <c r="H64" s="1">
        <v>204</v>
      </c>
      <c r="I64" s="1">
        <v>215</v>
      </c>
      <c r="K64" s="2"/>
      <c r="L64" s="2"/>
      <c r="M64" s="2"/>
      <c r="N64" s="2">
        <f t="shared" si="9"/>
        <v>73.569651741293526</v>
      </c>
      <c r="O64" s="2">
        <f t="shared" si="9"/>
        <v>92.430703624733482</v>
      </c>
      <c r="P64" s="2">
        <f t="shared" si="9"/>
        <v>102.66746624022744</v>
      </c>
      <c r="Q64" s="2"/>
      <c r="R64" s="3"/>
      <c r="S64" s="3"/>
      <c r="T64" s="3"/>
      <c r="U64" s="3">
        <f t="shared" si="11"/>
        <v>0.80845771144278611</v>
      </c>
      <c r="V64" s="3">
        <f t="shared" si="11"/>
        <v>0.906183368869936</v>
      </c>
      <c r="W64" s="3">
        <f t="shared" si="11"/>
        <v>0.95504619758351106</v>
      </c>
      <c r="Z64" s="133"/>
      <c r="AA64" s="129">
        <f>C64</f>
        <v>1000</v>
      </c>
      <c r="AB64" s="5"/>
      <c r="AC64" s="5"/>
      <c r="AD64" s="5"/>
      <c r="AE64" s="5" t="str">
        <f>G64 &amp; " (" &amp; ROUND(N64,0) &amp; "/" &amp; ROUND(U64,2) &amp; ")"</f>
        <v>182 (74/0.81)</v>
      </c>
      <c r="AF64" s="5" t="str">
        <f>H64 &amp; " (" &amp; ROUND(O64,0) &amp; "/" &amp; ROUND(V64,2) &amp; ")"</f>
        <v>204 (92/0.91)</v>
      </c>
      <c r="AG64" s="5" t="str">
        <f>I64 &amp; " (" &amp; ROUND(P64,0) &amp; "/" &amp; ROUND(W64,2) &amp; ")"</f>
        <v>215 (103/0.96)</v>
      </c>
    </row>
    <row r="65" spans="3:34">
      <c r="C65" s="1">
        <v>1100</v>
      </c>
      <c r="G65" s="1">
        <v>171</v>
      </c>
      <c r="H65" s="1">
        <v>191</v>
      </c>
      <c r="I65" s="1">
        <v>202</v>
      </c>
      <c r="N65" s="1">
        <f t="shared" si="9"/>
        <v>71.439898720682308</v>
      </c>
      <c r="O65" s="1">
        <f t="shared" si="9"/>
        <v>89.128242714996446</v>
      </c>
      <c r="P65" s="2">
        <f t="shared" si="9"/>
        <v>99.689943141435677</v>
      </c>
      <c r="U65" s="1">
        <f t="shared" si="11"/>
        <v>0.83555437100213215</v>
      </c>
      <c r="V65" s="3">
        <f t="shared" si="11"/>
        <v>0.93328002842928215</v>
      </c>
      <c r="W65" s="3">
        <f t="shared" si="11"/>
        <v>0.9870291400142146</v>
      </c>
      <c r="Z65" s="133"/>
      <c r="AA65" s="134">
        <f>C65</f>
        <v>1100</v>
      </c>
      <c r="AB65" s="135"/>
      <c r="AC65" s="135"/>
      <c r="AD65" s="135"/>
      <c r="AE65" s="135" t="str">
        <f>G65 &amp; " (" &amp; ROUND(N65,0) &amp; "/" &amp; ROUND(U65,2) &amp; ")"</f>
        <v>171 (71/0.84)</v>
      </c>
      <c r="AF65" s="135" t="str">
        <f>H65 &amp; " (" &amp; ROUND(O65,0) &amp; "/" &amp; ROUND(V65,2) &amp; ")"</f>
        <v>191 (89/0.93)</v>
      </c>
      <c r="AG65" s="135" t="str">
        <f>I65 &amp; " (" &amp; ROUND(P65,0) &amp; "/" &amp; ROUND(W65,2) &amp; ")"</f>
        <v>202 (100/0.99)</v>
      </c>
    </row>
    <row r="66" spans="3:34">
      <c r="C66" s="1">
        <v>1200</v>
      </c>
      <c r="H66" s="1">
        <v>181</v>
      </c>
      <c r="I66" s="1">
        <v>190</v>
      </c>
      <c r="N66" s="1">
        <f t="shared" si="9"/>
        <v>0</v>
      </c>
      <c r="O66" s="1">
        <f t="shared" si="9"/>
        <v>87.316098081023455</v>
      </c>
      <c r="P66" s="2">
        <f t="shared" si="9"/>
        <v>96.215351812366734</v>
      </c>
      <c r="V66" s="3">
        <f t="shared" si="11"/>
        <v>0.96481876332622596</v>
      </c>
      <c r="W66" s="3">
        <f t="shared" si="11"/>
        <v>1.0127931769722816</v>
      </c>
      <c r="Z66" s="133"/>
      <c r="AA66" s="129">
        <f>C66</f>
        <v>1200</v>
      </c>
      <c r="AB66" s="5"/>
      <c r="AC66" s="5"/>
      <c r="AD66" s="5"/>
      <c r="AE66" s="5"/>
      <c r="AF66" s="5" t="str">
        <f>H66 &amp; " (" &amp; ROUND(O66,0) &amp; "/" &amp; ROUND(V66,2) &amp; ")"</f>
        <v>181 (87/0.96)</v>
      </c>
      <c r="AG66" s="5" t="str">
        <f>I66 &amp; " (" &amp; ROUND(P66,0) &amp; "/" &amp; ROUND(W66,2) &amp; ")"</f>
        <v>190 (96/1.01)</v>
      </c>
    </row>
    <row r="71" spans="3:34">
      <c r="AD71" s="1">
        <v>1000</v>
      </c>
      <c r="AE71" s="1">
        <v>215</v>
      </c>
      <c r="AF71" s="1">
        <f>AD71*AE71^2/450240</f>
        <v>102.66746624022744</v>
      </c>
      <c r="AG71" s="1">
        <v>1200</v>
      </c>
      <c r="AH71" s="1">
        <f>(AF71*450240/AG71)^0.5</f>
        <v>196.26724977268452</v>
      </c>
    </row>
    <row r="72" spans="3:34">
      <c r="AD72" s="1">
        <v>1000</v>
      </c>
      <c r="AE72" s="1">
        <v>215</v>
      </c>
      <c r="AF72" s="1">
        <f>AD72*AE72*2/450240</f>
        <v>0.95504619758351106</v>
      </c>
      <c r="AG72" s="1">
        <v>1200</v>
      </c>
      <c r="AH72" s="1">
        <f>(AF72*450240/AG72)/2</f>
        <v>179.16666666666666</v>
      </c>
    </row>
  </sheetData>
  <mergeCells count="1">
    <mergeCell ref="Z49:Z66"/>
  </mergeCells>
  <phoneticPr fontId="0" type="noConversion"/>
  <conditionalFormatting sqref="AB49:AB56">
    <cfRule type="colorScale" priority="1">
      <colorScale>
        <cfvo type="min" val="0"/>
        <cfvo type="num" val="250"/>
        <cfvo type="max" val="0"/>
        <color rgb="FF63BE7B"/>
        <color rgb="FFFFEB84"/>
        <color rgb="FFF8696B"/>
      </colorScale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Imperial</vt:lpstr>
      <vt:lpstr>Metric</vt:lpstr>
      <vt:lpstr>Arrow Builder</vt:lpstr>
      <vt:lpstr>virtual M</vt:lpstr>
      <vt:lpstr>vmK model</vt:lpstr>
      <vt:lpstr>speed</vt:lpstr>
      <vt:lpstr>Poncelet</vt:lpstr>
    </vt:vector>
  </TitlesOfParts>
  <Company>Unisa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Unisa</dc:creator>
  <cp:lastModifiedBy>Marxh</cp:lastModifiedBy>
  <dcterms:created xsi:type="dcterms:W3CDTF">2008-11-04T09:19:57Z</dcterms:created>
  <dcterms:modified xsi:type="dcterms:W3CDTF">2009-09-07T17:40:10Z</dcterms:modified>
</cp:coreProperties>
</file>